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0" windowHeight="32767" activeTab="0"/>
  </bookViews>
  <sheets>
    <sheet name="Sažetak" sheetId="1" r:id="rId1"/>
    <sheet name="A. Račun prihoda i rashoda " sheetId="2" r:id="rId2"/>
    <sheet name="B. Račun financiranja " sheetId="3" r:id="rId3"/>
    <sheet name="C. Rasplož sred iz pret god" sheetId="4" r:id="rId4"/>
    <sheet name="Funkcijska " sheetId="5" r:id="rId5"/>
    <sheet name="Posebni dio " sheetId="6" r:id="rId6"/>
  </sheets>
  <definedNames/>
  <calcPr fullCalcOnLoad="1"/>
</workbook>
</file>

<file path=xl/sharedStrings.xml><?xml version="1.0" encoding="utf-8"?>
<sst xmlns="http://schemas.openxmlformats.org/spreadsheetml/2006/main" count="1016" uniqueCount="479">
  <si>
    <t/>
  </si>
  <si>
    <t>BROJ KONTA</t>
  </si>
  <si>
    <t>PLAN</t>
  </si>
  <si>
    <t>INDEKS</t>
  </si>
  <si>
    <t>5</t>
  </si>
  <si>
    <t>7</t>
  </si>
  <si>
    <t>2023</t>
  </si>
  <si>
    <t>2/1</t>
  </si>
  <si>
    <t>3/2</t>
  </si>
  <si>
    <t>A. RAČUN PRIHODA I RASHODA</t>
  </si>
  <si>
    <t>Prihodi poslovanja</t>
  </si>
  <si>
    <t>Prihodi od prodaje nefinancijske imovine</t>
  </si>
  <si>
    <t>3</t>
  </si>
  <si>
    <t>Rashodi poslovanja</t>
  </si>
  <si>
    <t>4</t>
  </si>
  <si>
    <t>Rashodi za nabavu nefinancijske imovine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</si>
  <si>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</si>
  <si>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</si>
  <si>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</si>
  <si>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</si>
  <si>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I. OPĆI DIO</t>
  </si>
  <si>
    <t xml:space="preserve">1. Članak </t>
  </si>
  <si>
    <t>Naziv</t>
  </si>
  <si>
    <t xml:space="preserve">Ukupni prihodi </t>
  </si>
  <si>
    <t xml:space="preserve">Ukupni rashodi </t>
  </si>
  <si>
    <t>RAZLIKA −VIŠAK / MANJAK</t>
  </si>
  <si>
    <t>C. RASPOLOŽIVA SREDSTVA IZ PRETHODNIH GODINA</t>
  </si>
  <si>
    <t>Manjak prihoda iz prethodne godine</t>
  </si>
  <si>
    <t xml:space="preserve">Preneseni višak iz prethodne godine </t>
  </si>
  <si>
    <t>Dio manjka iz prethodne godine koji će se pokriti u razdoblju 2020-2023.</t>
  </si>
  <si>
    <t xml:space="preserve">Manjak za pokirće u sljedećoj godini </t>
  </si>
  <si>
    <t xml:space="preserve">VIŠAK / MANJAK + NETO ZADUŽIVANJA / FINANCIRANJA + RASPOLOŽIVA SREDSTVA IZ PRETHODNIH GODINA </t>
  </si>
  <si>
    <t xml:space="preserve">Članak 2. </t>
  </si>
  <si>
    <t>EUR</t>
  </si>
  <si>
    <t xml:space="preserve">C. RASPOLOŽIVA SREDSTVA IZ PRETHODNIH GODINA  </t>
  </si>
  <si>
    <t xml:space="preserve">A. RAČUN PRIHODA I RASHODA - PRIHODI </t>
  </si>
  <si>
    <t>A. RAČUN PRIHODA I RASHODA - RASHODI</t>
  </si>
  <si>
    <t>6 Prihodi poslovanja</t>
  </si>
  <si>
    <t>61 Prihodi od poreza</t>
  </si>
  <si>
    <t xml:space="preserve">Izvor 1.1. OPĆI PRIHODI </t>
  </si>
  <si>
    <t>63 Pomoći iz inozemstva i od subjekata unutar općeg proračuna</t>
  </si>
  <si>
    <t>Izvor 5.1. TEKUĆE POMOĆI</t>
  </si>
  <si>
    <t>Izvor 5.2. KAPITALNE POMOĆI</t>
  </si>
  <si>
    <t>Izvor 5.4. POMOĆI TEMELJEM PRIJENOSA EU SREDSTAVA</t>
  </si>
  <si>
    <t>64 Prihodi od imovine</t>
  </si>
  <si>
    <t xml:space="preserve">Izvor 3.1. VLASTITI PRIHODI PRORAČUNSKIH KORISNIKA </t>
  </si>
  <si>
    <t xml:space="preserve">Izvor 4.1. NAKNADA ZA ZADRŽAVANJE NEZ. IZG. ZGRADA </t>
  </si>
  <si>
    <t xml:space="preserve">Izvor 4.3. OSTALI PRIHODI ZA POSEBNE NAMJENE </t>
  </si>
  <si>
    <t>65 Prihodi od upravnih i administrativnih pristojbi, pristojbi po posebnim propisima i naknada</t>
  </si>
  <si>
    <t xml:space="preserve">Izvor 4.2. KOMUNALNI DOPRINOS I NAKNADA </t>
  </si>
  <si>
    <t>66 Prihodi od prodaje proizvoda i robe te pruženih usluga i prihodi od donacija</t>
  </si>
  <si>
    <t xml:space="preserve">Izvor 6.1. TEKUĆE DONACIJE </t>
  </si>
  <si>
    <t>68 Kazne, upravne mjere i ostali prihodi</t>
  </si>
  <si>
    <t>7 Prihodi od prodaje nefinancijske imovine</t>
  </si>
  <si>
    <t>71 Prihodi od prodaje neproizvedene dugotrajne imovine</t>
  </si>
  <si>
    <t>Izvor 7.1. PRIHODI OD PRODAJE NEPROIZVEDENE DUG. IMOVINE</t>
  </si>
  <si>
    <t xml:space="preserve">UKUPNO 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</si>
  <si>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</si>
  <si>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</si>
  <si>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</si>
  <si>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</si>
  <si>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</si>
  <si>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</si>
  <si>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</si>
  <si>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</si>
  <si>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 Rashodi za nabavu nefinancijske imovine</t>
  </si>
  <si>
    <t>41 Rashodi za nabavu neproizvedene dugotrajne imovine</t>
  </si>
  <si>
    <t>42 Rashodi za nabavu proizvedene dugotrajne imovine</t>
  </si>
  <si>
    <t xml:space="preserve">Izvor 8.1. NAMJENSKI PRIMICI </t>
  </si>
  <si>
    <t>45 Rashodi za dodatna ulaganja na nefinancijskoj imovini</t>
  </si>
  <si>
    <t xml:space="preserve">VRSTA PRIHODA  I RASHODA </t>
  </si>
  <si>
    <t>8 Primici od financijske imovine i zaduživanja</t>
  </si>
  <si>
    <t>84 Primici od zaduživanja</t>
  </si>
  <si>
    <t xml:space="preserve">UKUPNO RASHODI / IZDACI </t>
  </si>
  <si>
    <t>5 Izdaci za financijsku imovinu i otplate zajmova</t>
  </si>
  <si>
    <t>54 Izdaci za otplatu glavnice primljenih kredita i zajmova</t>
  </si>
  <si>
    <t xml:space="preserve">VRSTA PRIMITKA I IZDATKA </t>
  </si>
  <si>
    <t>9 Vlastiti izvori</t>
  </si>
  <si>
    <t>92 Rezultat poslovanja</t>
  </si>
  <si>
    <t xml:space="preserve">NAZIV KONTA </t>
  </si>
  <si>
    <t xml:space="preserve">RASHODI PREMA FUNKCIJSKOJ KLASIFIKACIJI </t>
  </si>
  <si>
    <t xml:space="preserve">UKUPNO RASHODI  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</si>
  <si>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</si>
  <si>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</si>
  <si>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</si>
  <si>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</si>
  <si>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</si>
  <si>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</si>
  <si>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</si>
  <si>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</si>
  <si>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</si>
  <si>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</si>
  <si>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</si>
  <si>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</si>
  <si>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</si>
  <si>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</si>
  <si>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</si>
  <si>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</si>
  <si>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</si>
  <si>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</si>
  <si>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</si>
  <si>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</si>
  <si>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</si>
  <si>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074 Službe javnog zdravstva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</si>
  <si>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</si>
  <si>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</si>
  <si>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</si>
  <si>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</si>
  <si>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085 Istraživanje i razvoj rekreacije, kulture i religije</t>
  </si>
  <si>
    <t>FUNKCIJSKA KLASIFIKACIJA 09 Obrazovanje</t>
  </si>
  <si>
    <t>FUNKCIJSKA KLASIFIKACIJA 091 Predškolsko i osnovno obrazovanje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</si>
  <si>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</si>
  <si>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</si>
  <si>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</si>
  <si>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</si>
  <si>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</si>
  <si>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105 Nezaposlenost</t>
  </si>
  <si>
    <t>FUNKCIJSKA KLASIFIKACIJA 106 Stanovanje</t>
  </si>
  <si>
    <t>FUNKCIJSKA KLASIFIKACIJA 107 Socijalna pomoć stanovništvu koje nije obuhvaćeno redovnim socijalnim programima</t>
  </si>
  <si>
    <t>FUNKCIJSKA KLASIFIKACIJA 109 Aktivnosti socijalne zaštite koje nisu drugdje svrstane</t>
  </si>
  <si>
    <t xml:space="preserve">Razdjel 010 PREDSTAVNIČKA, IZVRŠNA I UPRAVNA TIJELA </t>
  </si>
  <si>
    <t xml:space="preserve">Glava 01001 PREDSTAVNIČKA I IZVRŠNA TIJELA </t>
  </si>
  <si>
    <t>Program 1001 PREDSTAVNIČKA I IZVRŠNA TIJELA</t>
  </si>
  <si>
    <t>Aktivnost A100101 POSLOVANJE PREDSTAVNIČKOG I IZVRŠNOG TIJELA</t>
  </si>
  <si>
    <t xml:space="preserve">Aktivnost A100102 POKROVITELJSTVO POLITIČKIH STRANAKA </t>
  </si>
  <si>
    <t xml:space="preserve">Program 1002 OBILJEŽAVANJE DANA OPĆINE I OSTALE OBLJETNICE </t>
  </si>
  <si>
    <t xml:space="preserve">Aktivnost A100201 OBILJEŽAVANJE DANA OPĆINE </t>
  </si>
  <si>
    <t xml:space="preserve">Aktivnost A100202 OBILJEŽAVANJE OSTALIH OBLJETNICA </t>
  </si>
  <si>
    <t>Glava 01002 JEDINSTVENI UPRAVNI ODJEL</t>
  </si>
  <si>
    <t>Program 1003 RASHODI POSLOVANJA JUO-A</t>
  </si>
  <si>
    <t>Aktivnost A100301 RASHODI ZA ZAPOSLENE JUO-A</t>
  </si>
  <si>
    <t xml:space="preserve">Aktivnost A100302 MATERIJALNI RASHODI </t>
  </si>
  <si>
    <t xml:space="preserve">Aktivnost A100304 FINANCIJSKI RASHODI I IZDACI </t>
  </si>
  <si>
    <t xml:space="preserve">Aktivnost A100305 PRORAČUNSKA PRIČUVA </t>
  </si>
  <si>
    <t xml:space="preserve">Kapitalni projekt K100303 OPREMANJE POSLOVNIH PROSTORIJA </t>
  </si>
  <si>
    <t>Glava 01003 ZAŠTITA I SPAŠAVANJE</t>
  </si>
  <si>
    <t>Program 1004 ZAŠTITA I SPAŠAVANJE</t>
  </si>
  <si>
    <t xml:space="preserve">Aktivnost A100401 SUFINANCIRANJE JAVNE VATROGASNE POSTROJBE ZADAR </t>
  </si>
  <si>
    <t xml:space="preserve">Aktivnost A100402 SUFINANCIRANJE POTREBA ZA ZAŠTITU I SPAŠAVANJE </t>
  </si>
  <si>
    <t xml:space="preserve">Glava 01004 ODRŽAVANJE KOMUNALNE INFRASTUKTURE, OSTALIH OBJEKATA I ZAŠTITA OKOLIŠA </t>
  </si>
  <si>
    <t xml:space="preserve">Program 1005 ODRŽAVANJE  KOMUNALNE INFRASTRUKTURE </t>
  </si>
  <si>
    <t xml:space="preserve">Aktivnost A100501 ODRŽAVANJE JAVNIH POVRŠINA </t>
  </si>
  <si>
    <t xml:space="preserve">Aktivnost A100502 ODRŽAVANJE JAVNIH ZELENIH POVRŠINA </t>
  </si>
  <si>
    <t xml:space="preserve">Aktivnost A100503 ODRŽAVANJE ČISTOĆE JAVNIH POVRŠINA </t>
  </si>
  <si>
    <t xml:space="preserve">Aktivnost A100504 ODRŽAVANJE NERAZVRSTANIH CESTA </t>
  </si>
  <si>
    <t xml:space="preserve">Aktivnost A100505 ODRŽAVANJE GRAĐEVINA I UREĐAJA JAVNE NAMJENE </t>
  </si>
  <si>
    <t xml:space="preserve">Aktivnost A100506 ODRŽAVANJE GRAĐEVINA JAVNE ODVODNJE OBORINSKIH VODA </t>
  </si>
  <si>
    <t xml:space="preserve">Aktivnost A100507 ODRŽAVANJE JAVNE RASVJETE </t>
  </si>
  <si>
    <t xml:space="preserve">Program 1006 ODRŽAVANJE OSTALE OPĆINSKE INFRASTRUKTURE </t>
  </si>
  <si>
    <t xml:space="preserve">Aktivnost A100601 ODRŽAVANJE OSTALE OPĆINSKE INFRASTRUKTURE I OPREME </t>
  </si>
  <si>
    <t xml:space="preserve">Aktivnost A100602 BOŽIĆNO UREĐENJE OPĆINE </t>
  </si>
  <si>
    <t xml:space="preserve">Program 1007 ZAŠTITA OKOLIŠA </t>
  </si>
  <si>
    <t xml:space="preserve">Aktivnost A100701 DEZINFEKCIJA, DEZINSEKCIJA I DERATIZACIJA </t>
  </si>
  <si>
    <t xml:space="preserve">Aktivnost A100702 SANACIJA KOMUNALNOG OTPADA </t>
  </si>
  <si>
    <t xml:space="preserve">Aktivnost A100703 NAKNADA ZA SMANJENJE KOMUNALNOG OTPADA </t>
  </si>
  <si>
    <t>Aktivnost A100705 ZAŠTITA KLIME, MORA I TLA</t>
  </si>
  <si>
    <t>Glava 01005 IZGRADNJA KOMUNALNE INFRASTRUKTURE, OSTALIH OBJEKATA I PROSTORNI PLANSKI DOKUMENTI</t>
  </si>
  <si>
    <t xml:space="preserve">Program 1008 IZGRADNJA OBJEKATA I UREĐAJA KOMUNALNE INFRASTRUKTURE </t>
  </si>
  <si>
    <t xml:space="preserve">Kapitalni projekt K100801 IZGRADNJA NERAZVRSTANIH CESTA </t>
  </si>
  <si>
    <t xml:space="preserve">Kapitalni projekt K100802 IZGRADNJA JAVNE RASVJETE </t>
  </si>
  <si>
    <t xml:space="preserve">Kapitalni projekt K100803 IZGRADNJA JAVNIH POVRŠINA </t>
  </si>
  <si>
    <t xml:space="preserve">Kapitalni projekt K100804 IZGRADNJA GROBLJA </t>
  </si>
  <si>
    <t>Program 1009 IZGRADNJA OSTALIH OBJEKATA I OPREME</t>
  </si>
  <si>
    <t>Kapitalni projekt K100901 IZGRADNJA KANALIZACIJSKE MREŽE</t>
  </si>
  <si>
    <t>Kapitalni projekt K100902 IZGRADNJA VODOVODNE MREŽE</t>
  </si>
  <si>
    <t>Kapitalni projekt K100904 ZGRADA OPĆINE BIBINJE</t>
  </si>
  <si>
    <t xml:space="preserve">Kapitalni projekt K100905 DOM KULTURE </t>
  </si>
  <si>
    <t xml:space="preserve">Kapitalni projekt K100907 IZGRADNJA I REKONSTRUKCIJA OSTALIH OBJEKATA OD LOKALNOG ZNAČAJA </t>
  </si>
  <si>
    <t xml:space="preserve">Kapitalni projekt K100908 NABAVE OSTALE OPREME I UREĐAJA OD LOKALNOG ZNAČAJA </t>
  </si>
  <si>
    <t xml:space="preserve">Kapitalni projekt K100909 OTKUP ZEMLJIŠTA ZA IZGRADNJU </t>
  </si>
  <si>
    <t xml:space="preserve">Program 1010 PROSTORNO PLANSKI DOKUMENTI </t>
  </si>
  <si>
    <t xml:space="preserve">Aktivnost A101002 KATASTRSKA IZMJERA </t>
  </si>
  <si>
    <t xml:space="preserve">Kapitalni projekt K101001 PROSTORNO I URBANISTIČKO PLANIRANJE </t>
  </si>
  <si>
    <t xml:space="preserve">Glava 01006 ŠKOLSTVO, PREDŠKOLSKI ODGOJ I OBRAZOVANJE </t>
  </si>
  <si>
    <t xml:space="preserve">Program 1011 JAVNE POTREBE U PREDŠKOLSTVU </t>
  </si>
  <si>
    <t xml:space="preserve">Aktivnost A101104 SUFINANCIRANJE CIJENE VRTIĆA ZA DJECU S POTEŠKOĆAMA U RAZVOJU </t>
  </si>
  <si>
    <t xml:space="preserve">Aktivnost A101106 SUFINANCIRANJE JASLIČKOG PROGRAMA U DJEČJIM VRTIĆIMA DRUGIH OSNIVAČA </t>
  </si>
  <si>
    <t xml:space="preserve">Aktivnost A101303 SUFINANCIRANJE CIJENE  PRIVATNIH VRTIĆA </t>
  </si>
  <si>
    <t xml:space="preserve">Kapitalni projekt K101105 IZGRADNJA, REKONSTRUKCIJA I  OPREMANJE VRTIĆA </t>
  </si>
  <si>
    <t xml:space="preserve">Program 1012 JAVNE POTREBE U ŠKOLSTVU </t>
  </si>
  <si>
    <t xml:space="preserve">Aktivnost A101201 FINANCIRANJE DODATNE NASTAVE U OŠ STJEPANA RADIĆA BIBINJE </t>
  </si>
  <si>
    <t>Aktivnost A101202 SUFINANCIRANJE RADNIH MATERIJALA UČENICIMA OŠ STJEPANA RADIĆA BIBINJE</t>
  </si>
  <si>
    <t>Aktivnost A101203 FINANCIRANJE LOGOPEDA</t>
  </si>
  <si>
    <t>Aktivnost A101204 SUFINANCIRANJE OSTALIH IZVANŠKOLSKIH AKTIVNOSTI U OŠ STJEPANA RADIĆA BIBINJE</t>
  </si>
  <si>
    <t xml:space="preserve">Program 1021 STIPENDIJE I ŠKOLARINE </t>
  </si>
  <si>
    <t xml:space="preserve">Aktivnost A102101 STIPENDIJE I ŠKOLARINE </t>
  </si>
  <si>
    <t xml:space="preserve">40971 DJEČJI VRTIĆ LEPTIRIĆI </t>
  </si>
  <si>
    <t xml:space="preserve">Aktivnost A101101 REDOVNA DJELATNOST DJEČJEG VRTIĆA LEPTIRIĆI </t>
  </si>
  <si>
    <t xml:space="preserve">Aktivnost A101102 PROJEKT ISPUNJENIJE DJETINJSTVO </t>
  </si>
  <si>
    <t xml:space="preserve">Glava 01007 KULTURA, SPORT I RELIGIJA  </t>
  </si>
  <si>
    <t xml:space="preserve">Aktivnost A101301 ORGANIZIRANJE KULTURNIH MANIFESTACIJA </t>
  </si>
  <si>
    <t xml:space="preserve">Aktivnost A101302 SUFINANCIRANJE PROGRAMA UDRUGA U KULTURI </t>
  </si>
  <si>
    <t>Aktivnost A101304 PROJKET "DRUŠTVENI CENTAR BIBINJE"</t>
  </si>
  <si>
    <t xml:space="preserve">Tekući projekt T101305 ARHEOLOŠKA ISTRAŽIVANJA </t>
  </si>
  <si>
    <t xml:space="preserve">Program 1014 JAVNE POTREBE U SPORTU </t>
  </si>
  <si>
    <t xml:space="preserve">Aktivnost A101401 SUFINANCIRANJE PROGRAMA SPORTSKIH UDRUGA </t>
  </si>
  <si>
    <t xml:space="preserve">Aktivnost A101402 ODRŽAVANJE SPORTSKIH OBJEKATA </t>
  </si>
  <si>
    <t xml:space="preserve">Kapitalni projekt K101403 IZGRADNJA I REKONSTRUKCIJA SPORTSKIH OBJEKATA </t>
  </si>
  <si>
    <t xml:space="preserve">Program 1020 RELIGIJA </t>
  </si>
  <si>
    <t xml:space="preserve">Aktivnost A102001 TEKUĆE DONACIJE VJERSKIM ZAJEDNICAMA </t>
  </si>
  <si>
    <t xml:space="preserve">Glava 01008 SOCIJALNA SKRB I ZDRAVSTVO </t>
  </si>
  <si>
    <t xml:space="preserve">Aktivnost A101501 NAKNADE GRAĐANIMA I KUĆUNSTVIMA </t>
  </si>
  <si>
    <t xml:space="preserve">Aktivnost A101502 SUFINANCIRANJE PROGRAMA UDRUGA </t>
  </si>
  <si>
    <t>Aktivnost A101503 PROJEKT PODRŠKOM ZA NJIH</t>
  </si>
  <si>
    <t>Aktivnost A101504 JEDNOKRATNA FINANCIJSKA POMOĆ UMIROVLJENICIMA (BOŽIĆNICA)</t>
  </si>
  <si>
    <t xml:space="preserve">Tekući projekt T101505 ISPUNITE SVOJU ZLATNU DOB </t>
  </si>
  <si>
    <t>Program 1016 ZDRAVSTVO</t>
  </si>
  <si>
    <t xml:space="preserve">Aktivnost A101601 POMOĆI ZDRAVSTVENIM USTANOVAMA </t>
  </si>
  <si>
    <t>Aktivnost A101602 ZAŠTITA ŽIVOTINJA</t>
  </si>
  <si>
    <t xml:space="preserve">Glava 01009 GOSPODARSTVO </t>
  </si>
  <si>
    <t xml:space="preserve">Program 1017 RAZVOJ GOSPODARSKIH DJELATNOSTI </t>
  </si>
  <si>
    <t xml:space="preserve">Aktivnost A101701 TURIZAM </t>
  </si>
  <si>
    <t xml:space="preserve">Kapitalni projekt K101702 POSLOVNA ZONA LONIĆI </t>
  </si>
  <si>
    <t>Program 1018 TRGOVAČKA DRUŠTVA U VLASNIŠTVU OPĆINE</t>
  </si>
  <si>
    <t xml:space="preserve">Aktivnost A101801 TRGOVAČKO DRUŠTVO BIBINJAC D.O.O. </t>
  </si>
  <si>
    <t>Aktivnost A101802 TRGOVAČKO DRUŠTVO ODOVODNJA BIBINJE-SUKOŠAN D.O.O.</t>
  </si>
  <si>
    <t xml:space="preserve">Program 1019 POLJOPRIVREDA </t>
  </si>
  <si>
    <t xml:space="preserve">Aktivnost A101902 POTICAJ ZA OBITELJSKA POLJOPRIVREDNA GOSPODARSTVA S PODRUČJA OPĆINE BIBINJE </t>
  </si>
  <si>
    <t xml:space="preserve">Aktivnost A101903 ODRŽAVANJE POLJSKIH I ŠUMSKIH PUTEVA </t>
  </si>
  <si>
    <t xml:space="preserve">Kapitalni projekt K101901 ISTRAŽIVANJE I BUŠENJE BUNARA ZA VODU </t>
  </si>
  <si>
    <t xml:space="preserve">Kapitalni projekt K101904 IZGRADNJA POLJSKIH PUTEVA </t>
  </si>
  <si>
    <t>II. POSEBNI DIO</t>
  </si>
  <si>
    <t xml:space="preserve">III. ZAVRŠNE ODREDBE </t>
  </si>
  <si>
    <t xml:space="preserve">Članak 3. </t>
  </si>
  <si>
    <t xml:space="preserve">OPĆINSKO VIJEĆE OPĆINE BIBINJE </t>
  </si>
  <si>
    <t xml:space="preserve">Predsjednica </t>
  </si>
  <si>
    <t xml:space="preserve">Marijana Kandić, prof. </t>
  </si>
  <si>
    <t xml:space="preserve">IZVRŠENJE </t>
  </si>
  <si>
    <t>2023-6</t>
  </si>
  <si>
    <t>Program 1013 JAVNE POTREBE U KULTURI</t>
  </si>
  <si>
    <t xml:space="preserve">Program 1015 SOCIJALNA SKRB </t>
  </si>
  <si>
    <t xml:space="preserve">4123 Licence </t>
  </si>
  <si>
    <t xml:space="preserve">4126 Ostala nematerijalna imovina </t>
  </si>
  <si>
    <t xml:space="preserve">4213 Ceste, željeznice i ostali prometni objekti </t>
  </si>
  <si>
    <t xml:space="preserve">4214 Ostali građevinski objekti </t>
  </si>
  <si>
    <t xml:space="preserve">4221 Uredska oprema i namještaj </t>
  </si>
  <si>
    <t xml:space="preserve">4227 Uređaji, strojevi i oprema za ostale namjene </t>
  </si>
  <si>
    <t xml:space="preserve">4263 Umjetnička, literarna i znanstvena djela </t>
  </si>
  <si>
    <t xml:space="preserve">4511 Dodatna ulaganja na građevinskim objektima </t>
  </si>
  <si>
    <t xml:space="preserve">5443 Otplata glavnice primljenih kredita od tuz. kreditnih instit. izvan javnog sektora </t>
  </si>
  <si>
    <t xml:space="preserve">5471 Otplata glavnice primljenih zajmova od državnog proračuna </t>
  </si>
  <si>
    <t xml:space="preserve">3811 Tekuće donacije u novcu </t>
  </si>
  <si>
    <t xml:space="preserve">3861 Kapitalne pomoći kreditnim i financijskim institucijama te trgovačkim društvima u javnom sektoru </t>
  </si>
  <si>
    <t xml:space="preserve">3721 Naknade građanima i kućanstvima u novcu </t>
  </si>
  <si>
    <t>3722 Naknade građanima i kućanstvima u naravi</t>
  </si>
  <si>
    <t xml:space="preserve">3631 Tekuće pomoći unutar općeg proračuna </t>
  </si>
  <si>
    <t xml:space="preserve">3661 Tekuće pomoći proračunskim korisnicima drugih proračuna </t>
  </si>
  <si>
    <t xml:space="preserve">3512 Subvencije trgovačkim društvima u javnom sektoru </t>
  </si>
  <si>
    <t>3423 Kamate na primljene kredite i zajmove od kreditnih i ostalih financijskih institucija izvan javnog sektora</t>
  </si>
  <si>
    <t xml:space="preserve">3431 Bankarske usluge i usluge platnog prometa </t>
  </si>
  <si>
    <t xml:space="preserve">3433 Zatezne kamate </t>
  </si>
  <si>
    <t xml:space="preserve">3292 Premije osiguranja </t>
  </si>
  <si>
    <t xml:space="preserve">3293 Reprezentacija </t>
  </si>
  <si>
    <t xml:space="preserve">Izvor 1.2. PREDFINANCIRANJE EU PROJEKTA </t>
  </si>
  <si>
    <t xml:space="preserve">3294 Članarine i norme </t>
  </si>
  <si>
    <t xml:space="preserve">3295 Pristojbe i naknade </t>
  </si>
  <si>
    <t xml:space="preserve">3296 Troškovi sudskih postupaka </t>
  </si>
  <si>
    <t xml:space="preserve">3299 Ostali nespomenuti rashodi poslovanja </t>
  </si>
  <si>
    <t xml:space="preserve">3239 Ostale usluge </t>
  </si>
  <si>
    <t xml:space="preserve">3238 Računalne usluge </t>
  </si>
  <si>
    <t xml:space="preserve">3237 Intelektualne i osobne usluge </t>
  </si>
  <si>
    <t xml:space="preserve">3236 Zdravstvene i veterinarske usluge </t>
  </si>
  <si>
    <t xml:space="preserve">3235 Zakupnine i najamnine </t>
  </si>
  <si>
    <t xml:space="preserve">3234 Komunalne usluge </t>
  </si>
  <si>
    <t>3234 Komunalne usluge</t>
  </si>
  <si>
    <t xml:space="preserve">3233 Usluge promidžbe i informiranja </t>
  </si>
  <si>
    <t xml:space="preserve">3232 Usluge tekućeg i investicijskog održavanja </t>
  </si>
  <si>
    <t xml:space="preserve">3231 Usluge telefona, pošte i prijevoza </t>
  </si>
  <si>
    <t xml:space="preserve">3225 Sitni inventar i auto gume </t>
  </si>
  <si>
    <t xml:space="preserve">3224 Materijal i dijelovi za tekuće i investicijsko održavanje </t>
  </si>
  <si>
    <t xml:space="preserve">3223 Energija  </t>
  </si>
  <si>
    <t xml:space="preserve">3222 Materijal i sirovine </t>
  </si>
  <si>
    <t xml:space="preserve">3221 Uredski materijal i ostali uredski materijal </t>
  </si>
  <si>
    <t xml:space="preserve">3221 Uredski materijal i ostali materijalni rashodi </t>
  </si>
  <si>
    <t xml:space="preserve">3213 Stručno usavršavanje zaposlenika </t>
  </si>
  <si>
    <t xml:space="preserve">3212 Naknade za prijevoz, za rad na terenu i odvojeni život </t>
  </si>
  <si>
    <t xml:space="preserve">3211 Službena putovanja </t>
  </si>
  <si>
    <t xml:space="preserve">3132 Doprinosi za obvezno zdravstveno osiguranje </t>
  </si>
  <si>
    <t xml:space="preserve">3121 Ostali rashodi za zaposlene </t>
  </si>
  <si>
    <t xml:space="preserve">3111 Plaće za redovan rad </t>
  </si>
  <si>
    <t xml:space="preserve">Ovaj polugodišnji izvještaj o izvršenju proračuna Općine Bibinje za 2023. godinu  objavi će se na internetskoj stranici Općine Bibinje. Opći i posebni dio polugodišnjeg izvršenja proračuna Općine Bibinje za 2023. godinu objaviti će se u Službenom glasniku Općine Bibinje.  </t>
  </si>
  <si>
    <t xml:space="preserve">POLUGODIŠNJI IZVJEŠTAJ O IZVRŠENJU PRORAČUNA OPĆINE BIBINJE ZA 2023. GODINU </t>
  </si>
  <si>
    <t xml:space="preserve">IZVRŠENJE PO PROGRAMSKOJ KLASIFIKACIJI </t>
  </si>
  <si>
    <t xml:space="preserve">IZVRŠENJE PO ORGANIZACIJSKOJ KLASIFIKACIJI </t>
  </si>
  <si>
    <t>IZVRŠENJE</t>
  </si>
  <si>
    <t>2022-6</t>
  </si>
  <si>
    <t>3/1</t>
  </si>
  <si>
    <t xml:space="preserve">BROJČANA OZNAKA I NAZIV FUNKCIJSKE KLASIFIKACIJE </t>
  </si>
  <si>
    <t xml:space="preserve">9221 Višak prihoda </t>
  </si>
  <si>
    <t xml:space="preserve">VIŠAK PREMA IZVORIMA FINANCIRANJA </t>
  </si>
  <si>
    <t xml:space="preserve">ŠIFRA IZVORA </t>
  </si>
  <si>
    <t xml:space="preserve">VRSTA IZVORA FINANCIRANJA </t>
  </si>
  <si>
    <t xml:space="preserve">SVEUKUPNI VIŠAK </t>
  </si>
  <si>
    <t>Izvor 9.</t>
  </si>
  <si>
    <t xml:space="preserve">VIŠAK PRIHODA </t>
  </si>
  <si>
    <t>Izvor  9.1.</t>
  </si>
  <si>
    <t xml:space="preserve">VIŠAK PRIHODA - OPĆINA </t>
  </si>
  <si>
    <t>Izvor 9.2.</t>
  </si>
  <si>
    <t xml:space="preserve">VIŠAK PRIHODA - KORISNICI </t>
  </si>
  <si>
    <t>Izvor 9.1.</t>
  </si>
  <si>
    <t xml:space="preserve">922 Višak / manjak prihoda </t>
  </si>
  <si>
    <t xml:space="preserve">PRIMICI PREMA IZVORIMA FINANCIRANJA </t>
  </si>
  <si>
    <t xml:space="preserve">SVEUKUPNO PRIMICI </t>
  </si>
  <si>
    <t>Izvor  1.</t>
  </si>
  <si>
    <t>OPĆI PRIHODI I PRIMICI</t>
  </si>
  <si>
    <t>Izvor  1.1.</t>
  </si>
  <si>
    <t>OPĆI PRIHODI</t>
  </si>
  <si>
    <t>Izvor 8.</t>
  </si>
  <si>
    <t xml:space="preserve">NAMJENSKI PRIMICI </t>
  </si>
  <si>
    <t>Izvor 8.1.</t>
  </si>
  <si>
    <t xml:space="preserve">IZDACI PREMA IZVORIMA FINANCIRANJA </t>
  </si>
  <si>
    <t xml:space="preserve">SVEUKUPNO IZDACI </t>
  </si>
  <si>
    <t>Izvor  7.</t>
  </si>
  <si>
    <t>PRIHODI OD PRODAJE ILI ZAMJENE NEFINANCIJSKE IMOVINE</t>
  </si>
  <si>
    <t>Izvor  7.1.</t>
  </si>
  <si>
    <t>PRIHODI OD PRODAJE NEPROIZVEDENE DUG. IMOVINE</t>
  </si>
  <si>
    <r>
      <t xml:space="preserve">844 </t>
    </r>
    <r>
      <rPr>
        <b/>
        <sz val="8"/>
        <rFont val="Arial"/>
        <family val="2"/>
      </rPr>
      <t>Primljeni krediti i zajmovi od kreditnih i ostalih financijskih institucija izvan javnog sektora</t>
    </r>
  </si>
  <si>
    <r>
      <t>544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Otplata glavnice primljenih kredita i zajmova od kreditnih i ostalih financijskih institucija izvan javnog sektora</t>
    </r>
  </si>
  <si>
    <r>
      <rPr>
        <sz val="10"/>
        <rFont val="Arial"/>
        <family val="2"/>
      </rPr>
      <t>5443</t>
    </r>
    <r>
      <rPr>
        <sz val="9"/>
        <rFont val="Arial"/>
        <family val="2"/>
      </rPr>
      <t xml:space="preserve"> Otplata glavnice primljenih kredita od tuzemnih kreditnih institucija izvan javnog sektora</t>
    </r>
  </si>
  <si>
    <t>547 Otplata glavnice primljenih zajmova od drugih razina vlasti</t>
  </si>
  <si>
    <t>5471 Otplata glavnice primljenih zajmova od državnog proračuna</t>
  </si>
  <si>
    <t>711 Prihodi od prodaje materijalne imovine - prirodnih bogatstava</t>
  </si>
  <si>
    <t>7111 Zemljište</t>
  </si>
  <si>
    <t>6831 Ostali prihodi</t>
  </si>
  <si>
    <t>683 Ostali prihodi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</si>
  <si>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</si>
  <si>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</si>
  <si>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</si>
  <si>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6631Tekuće donacije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</si>
  <si>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</si>
  <si>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</si>
  <si>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</si>
  <si>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</si>
  <si>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</si>
  <si>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 xml:space="preserve">6526 Ostali nespomenuti prihodi </t>
  </si>
  <si>
    <t xml:space="preserve">653 Komunalni doprinosi i naknade </t>
  </si>
  <si>
    <t>6531 Komunalni doprinosi</t>
  </si>
  <si>
    <t>6532 Komunalne naknade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</si>
  <si>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</si>
  <si>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</si>
  <si>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</si>
  <si>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</si>
  <si>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</si>
  <si>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</si>
  <si>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</si>
  <si>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</si>
  <si>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 xml:space="preserve">633 Pomoći proračunu iz drugih proračuna i izvanproračunskim korisnicima </t>
  </si>
  <si>
    <t xml:space="preserve">6331 Tekuće pomoći proračunu iz drugih proračuna i izvanproračunskim korisnicima </t>
  </si>
  <si>
    <t xml:space="preserve">6332 Kapitalne pomoći proračunu iz drugih proračuna  i izvanproračunskim korisnicima </t>
  </si>
  <si>
    <t>634 Pomoći od izvanproračunskih korisnika</t>
  </si>
  <si>
    <t xml:space="preserve">6341 Tekuće pomoći od izvanproračunskih korisnika </t>
  </si>
  <si>
    <t>635 Pomoći izravnanja za decentralizirane funkcije</t>
  </si>
  <si>
    <t>6351 Tekuće pomoći izravnanja za decentralizirane funkcije</t>
  </si>
  <si>
    <t xml:space="preserve">636 Pomoći proračunskim korisnicima iz proračuna koji im nije nadležan 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</si>
  <si>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</si>
  <si>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</si>
  <si>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</si>
  <si>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611 Porez i prirez na dohodak</t>
  </si>
  <si>
    <t xml:space="preserve">6111 Porez i prirez na dohodak od nesamostalnog rada 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</si>
  <si>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</si>
  <si>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</si>
  <si>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</si>
  <si>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</si>
  <si>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</si>
  <si>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</si>
  <si>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</si>
  <si>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</si>
  <si>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</si>
  <si>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</si>
  <si>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616 Ostali prihodi od poreza</t>
  </si>
  <si>
    <t>6163 Ostali neraspoređeni prihodi od poreza</t>
  </si>
  <si>
    <t>451 Dodatna ulaganja na građevinskim objektima</t>
  </si>
  <si>
    <t>4511 Dodatna ulaganja na građevinskim objektima</t>
  </si>
  <si>
    <t>421 Građevinski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</si>
  <si>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</si>
  <si>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</si>
  <si>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</si>
  <si>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</si>
  <si>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</si>
  <si>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</si>
  <si>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</si>
  <si>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</si>
  <si>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426 Nematerijalna proizvedena imovina</t>
  </si>
  <si>
    <t>4262 Ulaganja u računalne programe</t>
  </si>
  <si>
    <t>4263 Umjetnička, literarna i znanstvena djela</t>
  </si>
  <si>
    <t>412 Nematerijalna imovina</t>
  </si>
  <si>
    <t>4123 Licence</t>
  </si>
  <si>
    <t>4126 Ostala nematerijalna imovina</t>
  </si>
  <si>
    <t>381 Tekuće donacije</t>
  </si>
  <si>
    <t>3811 Tekuće donacije u novcu</t>
  </si>
  <si>
    <t xml:space="preserve">386 Kapitalne pomoći </t>
  </si>
  <si>
    <t>3861 Kapitalne pomoći kreditnim i ostalim financijskim institucijama te trgovačkim društvima u javnom sektoru</t>
  </si>
  <si>
    <t>372 Ostale naknade građanima i kućanstvima iz proračuna</t>
  </si>
  <si>
    <t>3721 Naknade građanima i kućanstvima u novcu</t>
  </si>
  <si>
    <t>363 Pomoći unutar općeg proračuna</t>
  </si>
  <si>
    <t>3631 Tekuće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</si>
  <si>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</si>
  <si>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</si>
  <si>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</si>
  <si>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351 Subvencije trgovačkim društvima u javnom sektoru</t>
  </si>
  <si>
    <t>3512 Subvencije trgovačkim društvima u javnom sektoru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</si>
  <si>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</si>
  <si>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</si>
  <si>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</si>
  <si>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</si>
  <si>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</si>
  <si>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</si>
  <si>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</si>
  <si>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</si>
  <si>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</si>
  <si>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</si>
  <si>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</si>
  <si>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</si>
  <si>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</si>
  <si>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</si>
  <si>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</si>
  <si>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</si>
  <si>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</si>
  <si>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</si>
  <si>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</si>
  <si>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</si>
  <si>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</si>
  <si>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</si>
  <si>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</si>
  <si>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</si>
  <si>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</si>
  <si>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</si>
  <si>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</si>
  <si>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</si>
  <si>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</si>
  <si>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</si>
  <si>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</si>
  <si>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</si>
  <si>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</si>
  <si>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</si>
  <si>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</si>
  <si>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</si>
  <si>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</si>
  <si>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</si>
  <si>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 xml:space="preserve">PRIHODI PREMA IZVORIMA FINANCIRANJA </t>
  </si>
  <si>
    <t>SVEUKUPNO PRIHODI</t>
  </si>
  <si>
    <t>Izvor  3.</t>
  </si>
  <si>
    <t>VLASTITI PRIHODI</t>
  </si>
  <si>
    <t>Izvor  3.1.</t>
  </si>
  <si>
    <t>VLASTITI PRIHODI PRORAČUNSKIH KORISNIKA</t>
  </si>
  <si>
    <t>Izvor  4.</t>
  </si>
  <si>
    <t>PRIHODI ZA POSEBNE NAMJENE</t>
  </si>
  <si>
    <t>Izvor  4.1.</t>
  </si>
  <si>
    <t>NAKNADA ZA ZADRŽAVANJE NEZ. IZG. ZGRADA</t>
  </si>
  <si>
    <t>Izvor  4.2.</t>
  </si>
  <si>
    <t>KOMUNALNI DOPRINOS I NAKNADA</t>
  </si>
  <si>
    <t>Izvor  4.3.</t>
  </si>
  <si>
    <t>OSTALI PRIHODI ZA POSEBNE NAMJENE</t>
  </si>
  <si>
    <t>Izvor  5.</t>
  </si>
  <si>
    <t>POMOĆI</t>
  </si>
  <si>
    <t>Izvor  5.1.</t>
  </si>
  <si>
    <t>TEKUĆE POMOĆI</t>
  </si>
  <si>
    <t>Izvor  5.2.</t>
  </si>
  <si>
    <t>KAPITALNE POMOĆI</t>
  </si>
  <si>
    <t>Izvor  5.3.</t>
  </si>
  <si>
    <t>POMOĆI OD IZVANPRORAČUNSKIH KORISNIKA</t>
  </si>
  <si>
    <t>Izvor  5.4.</t>
  </si>
  <si>
    <t>POMOĆI TEMELJEM PRIJENOSA EU SREDSTAVA</t>
  </si>
  <si>
    <t>Izvor  5.5.</t>
  </si>
  <si>
    <t>REFUNDACIJA POMOĆI IZ PRETHODNIH GODINA</t>
  </si>
  <si>
    <t>Izvor  6.</t>
  </si>
  <si>
    <t>DONACIJE</t>
  </si>
  <si>
    <t>Izvor  6.1.</t>
  </si>
  <si>
    <t>TEKUĆE DONACIJE</t>
  </si>
  <si>
    <t xml:space="preserve">RASHODI PREMA IZVORIMA FINANCIRANJA </t>
  </si>
  <si>
    <t xml:space="preserve">SVEUKUPNO RASHODI </t>
  </si>
  <si>
    <t>Izvor  9.2.</t>
  </si>
  <si>
    <t xml:space="preserve">VIŠAK PRIHODA - PRORAČUNSKI KORISNICI </t>
  </si>
  <si>
    <t xml:space="preserve">Polugodišnji izvještaj o izvršenju proračuna Općine Bibinje za 2023. godinu sadrži: </t>
  </si>
  <si>
    <t>Izvršenje prihoda i rashoda, primitaka i izdataka po ekonomskoj, funkcijskoj, organizacijskoj, programskoj klasifikaciji i po izvorima financiranja utvrđuje se u Računu prihoda i rashoda, Računu financiranja i Posebnom dijelu proračuna za 2023. godinu kako slijedi:</t>
  </si>
  <si>
    <t>Na temelju članka 88. Zakona o proračunu (''Narodne novine'', broj 144/21 ), članka 54. stavka 3. Pravilnika o polugodišnjem i godišnjem izvještaju izvršenju proračuna ( "Narodne novine", broj 85/23) i članka 31.  Statuta Općine Bibinje („Službeni glasnik Općine Bibinje”  broj 1/21) Općinsko vijeće Općine Bibinje na svojoj 15. sjednici održanoj dana 19.10.2023. godine, donosi:</t>
  </si>
  <si>
    <t>Bibinje, 19.10.2023.godine</t>
  </si>
  <si>
    <t>KLASA: 406-06/23-01/02</t>
  </si>
  <si>
    <t>URBROJ: 2198-02-01/01-23-1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</si>
</sst>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53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 Narrow"/>
      <family val="2"/>
    </font>
    <font>
      <i/>
      <sz val="12"/>
      <name val="Arial Narrow"/>
      <family val="2"/>
    </font>
    <font>
      <b/>
      <sz val="14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35" borderId="0" xfId="0" applyFont="1" applyFill="1" applyAlignment="1">
      <alignment/>
    </xf>
    <xf numFmtId="4" fontId="9" fillId="35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1" fillId="36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4" fontId="52" fillId="38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0" fontId="9" fillId="37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9" fillId="39" borderId="0" xfId="0" applyFont="1" applyFill="1" applyAlignment="1">
      <alignment/>
    </xf>
    <xf numFmtId="4" fontId="9" fillId="39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9" fillId="41" borderId="0" xfId="0" applyFont="1" applyFill="1" applyAlignment="1">
      <alignment/>
    </xf>
    <xf numFmtId="4" fontId="9" fillId="41" borderId="0" xfId="0" applyNumberFormat="1" applyFont="1" applyFill="1" applyAlignment="1">
      <alignment/>
    </xf>
    <xf numFmtId="0" fontId="9" fillId="42" borderId="0" xfId="0" applyFont="1" applyFill="1" applyAlignment="1">
      <alignment/>
    </xf>
    <xf numFmtId="4" fontId="9" fillId="42" borderId="0" xfId="0" applyNumberFormat="1" applyFont="1" applyFill="1" applyAlignment="1">
      <alignment/>
    </xf>
    <xf numFmtId="0" fontId="2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0" fontId="3" fillId="0" borderId="0" xfId="50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52" fillId="44" borderId="0" xfId="0" applyNumberFormat="1" applyFont="1" applyFill="1" applyAlignment="1">
      <alignment/>
    </xf>
    <xf numFmtId="4" fontId="52" fillId="45" borderId="0" xfId="0" applyNumberFormat="1" applyFont="1" applyFill="1" applyAlignment="1">
      <alignment/>
    </xf>
    <xf numFmtId="4" fontId="52" fillId="46" borderId="0" xfId="0" applyNumberFormat="1" applyFont="1" applyFill="1" applyAlignment="1">
      <alignment/>
    </xf>
    <xf numFmtId="4" fontId="1" fillId="47" borderId="0" xfId="0" applyNumberFormat="1" applyFont="1" applyFill="1" applyAlignment="1">
      <alignment/>
    </xf>
    <xf numFmtId="4" fontId="1" fillId="48" borderId="0" xfId="0" applyNumberFormat="1" applyFont="1" applyFill="1" applyAlignment="1">
      <alignment/>
    </xf>
    <xf numFmtId="4" fontId="1" fillId="4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41" borderId="0" xfId="0" applyFont="1" applyFill="1" applyAlignment="1">
      <alignment/>
    </xf>
    <xf numFmtId="0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8" fillId="0" borderId="0" xfId="50" applyFont="1" applyAlignment="1">
      <alignment horizontal="left"/>
      <protection/>
    </xf>
    <xf numFmtId="0" fontId="0" fillId="0" borderId="0" xfId="0" applyAlignment="1">
      <alignment/>
    </xf>
    <xf numFmtId="0" fontId="4" fillId="0" borderId="0" xfId="50" applyFont="1" applyAlignment="1">
      <alignment/>
      <protection/>
    </xf>
    <xf numFmtId="0" fontId="7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2" fillId="50" borderId="0" xfId="0" applyFont="1" applyFill="1" applyAlignment="1">
      <alignment/>
    </xf>
    <xf numFmtId="4" fontId="12" fillId="50" borderId="0" xfId="0" applyNumberFormat="1" applyFont="1" applyFill="1" applyAlignment="1">
      <alignment/>
    </xf>
    <xf numFmtId="4" fontId="12" fillId="51" borderId="0" xfId="0" applyNumberFormat="1" applyFont="1" applyFill="1" applyAlignment="1">
      <alignment/>
    </xf>
    <xf numFmtId="0" fontId="0" fillId="52" borderId="0" xfId="0" applyFill="1" applyAlignment="1">
      <alignment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" fontId="2" fillId="33" borderId="0" xfId="0" applyNumberFormat="1" applyFont="1" applyFill="1" applyAlignment="1">
      <alignment/>
    </xf>
    <xf numFmtId="4" fontId="9" fillId="53" borderId="0" xfId="0" applyNumberFormat="1" applyFont="1" applyFill="1" applyAlignment="1">
      <alignment/>
    </xf>
    <xf numFmtId="4" fontId="12" fillId="35" borderId="0" xfId="0" applyNumberFormat="1" applyFont="1" applyFill="1" applyAlignment="1">
      <alignment/>
    </xf>
    <xf numFmtId="4" fontId="9" fillId="54" borderId="0" xfId="0" applyNumberFormat="1" applyFont="1" applyFill="1" applyAlignment="1">
      <alignment/>
    </xf>
    <xf numFmtId="4" fontId="0" fillId="37" borderId="0" xfId="0" applyNumberFormat="1" applyFont="1" applyFill="1" applyAlignment="1">
      <alignment/>
    </xf>
    <xf numFmtId="0" fontId="1" fillId="0" borderId="0" xfId="50" applyFont="1" applyAlignment="1">
      <alignment/>
      <protection/>
    </xf>
    <xf numFmtId="4" fontId="9" fillId="53" borderId="0" xfId="50" applyNumberFormat="1" applyFont="1" applyFill="1">
      <alignment/>
      <protection/>
    </xf>
    <xf numFmtId="4" fontId="2" fillId="33" borderId="0" xfId="50" applyNumberFormat="1" applyFont="1" applyFill="1">
      <alignment/>
      <protection/>
    </xf>
    <xf numFmtId="0" fontId="1" fillId="0" borderId="0" xfId="50" applyFont="1">
      <alignment/>
      <protection/>
    </xf>
    <xf numFmtId="4" fontId="12" fillId="35" borderId="0" xfId="50" applyNumberFormat="1" applyFont="1" applyFill="1">
      <alignment/>
      <protection/>
    </xf>
    <xf numFmtId="4" fontId="12" fillId="49" borderId="0" xfId="50" applyNumberFormat="1" applyFont="1" applyFill="1">
      <alignment/>
      <protection/>
    </xf>
    <xf numFmtId="0" fontId="11" fillId="0" borderId="0" xfId="0" applyFont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 applyProtection="1">
      <alignment horizontal="left"/>
      <protection/>
    </xf>
    <xf numFmtId="20" fontId="10" fillId="0" borderId="0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37" borderId="19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7" borderId="0" xfId="0" applyFont="1" applyFill="1" applyAlignment="1">
      <alignment horizontal="center"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37" borderId="0" xfId="0" applyNumberFormat="1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0" borderId="0" xfId="50" applyFont="1" applyAlignment="1">
      <alignment/>
      <protection/>
    </xf>
    <xf numFmtId="4" fontId="1" fillId="37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50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B10">
      <selection activeCell="B36" sqref="B36"/>
    </sheetView>
  </sheetViews>
  <sheetFormatPr defaultColWidth="9.140625" defaultRowHeight="12.75"/>
  <cols>
    <col min="1" max="1" width="14.28125" style="0" customWidth="1"/>
    <col min="2" max="2" width="48.00390625" style="0" customWidth="1"/>
    <col min="3" max="3" width="20.7109375" style="0" customWidth="1"/>
    <col min="4" max="4" width="24.140625" style="0" customWidth="1"/>
    <col min="5" max="5" width="17.28125" style="0" customWidth="1"/>
    <col min="6" max="7" width="14.7109375" style="0" customWidth="1"/>
    <col min="8" max="8" width="11.00390625" style="0" customWidth="1"/>
    <col min="9" max="9" width="8.57421875" style="0" customWidth="1"/>
  </cols>
  <sheetData>
    <row r="1" spans="1:8" ht="15.75">
      <c r="A1" s="123"/>
      <c r="B1" s="123"/>
      <c r="C1" s="123"/>
      <c r="D1" s="123"/>
      <c r="E1" s="123"/>
      <c r="F1" s="123"/>
      <c r="G1" s="87"/>
      <c r="H1" s="88"/>
    </row>
    <row r="2" spans="1:8" ht="15">
      <c r="A2" s="66"/>
      <c r="B2" s="66"/>
      <c r="C2" s="66"/>
      <c r="D2" s="66"/>
      <c r="E2" s="66"/>
      <c r="F2" s="66"/>
      <c r="G2" s="87"/>
      <c r="H2" s="89"/>
    </row>
    <row r="3" spans="1:8" ht="51" customHeight="1">
      <c r="A3" s="127" t="s">
        <v>475</v>
      </c>
      <c r="B3" s="116"/>
      <c r="C3" s="116"/>
      <c r="D3" s="116"/>
      <c r="E3" s="116"/>
      <c r="F3" s="116"/>
      <c r="G3" s="116"/>
      <c r="H3" s="66"/>
    </row>
    <row r="4" spans="1:8" ht="15">
      <c r="A4" s="124"/>
      <c r="B4" s="124"/>
      <c r="C4" s="66"/>
      <c r="D4" s="66"/>
      <c r="E4" s="66"/>
      <c r="F4" s="66"/>
      <c r="G4" s="66"/>
      <c r="H4" s="66"/>
    </row>
    <row r="5" spans="1:8" ht="15">
      <c r="A5" s="66"/>
      <c r="B5" s="66"/>
      <c r="C5" s="66"/>
      <c r="D5" s="66"/>
      <c r="E5" s="66"/>
      <c r="F5" s="66"/>
      <c r="G5" s="66"/>
      <c r="H5" s="66"/>
    </row>
    <row r="6" spans="1:8" ht="18">
      <c r="A6" s="125" t="s">
        <v>281</v>
      </c>
      <c r="B6" s="126"/>
      <c r="C6" s="126"/>
      <c r="D6" s="126"/>
      <c r="E6" s="126"/>
      <c r="F6" s="126"/>
      <c r="G6" s="126"/>
      <c r="H6" s="66"/>
    </row>
    <row r="7" spans="1:9" ht="15.75">
      <c r="A7" s="66"/>
      <c r="B7" s="92"/>
      <c r="C7" s="91"/>
      <c r="D7" s="91"/>
      <c r="E7" s="91"/>
      <c r="F7" s="91"/>
      <c r="G7" s="90"/>
      <c r="H7" s="90"/>
      <c r="I7" s="6"/>
    </row>
    <row r="8" spans="1:9" ht="15.75">
      <c r="A8" s="128" t="s">
        <v>20</v>
      </c>
      <c r="B8" s="128"/>
      <c r="C8" s="128"/>
      <c r="D8" s="128"/>
      <c r="E8" s="128"/>
      <c r="F8" s="128"/>
      <c r="G8" s="90"/>
      <c r="H8" s="90"/>
      <c r="I8" s="6"/>
    </row>
    <row r="9" spans="1:8" ht="15.75">
      <c r="A9" s="129" t="s">
        <v>21</v>
      </c>
      <c r="B9" s="116"/>
      <c r="C9" s="116"/>
      <c r="D9" s="116"/>
      <c r="E9" s="116"/>
      <c r="F9" s="116"/>
      <c r="G9" s="116"/>
      <c r="H9" s="66"/>
    </row>
    <row r="10" spans="1:8" ht="15">
      <c r="A10" s="66"/>
      <c r="B10" s="66"/>
      <c r="C10" s="66"/>
      <c r="D10" s="66"/>
      <c r="E10" s="66"/>
      <c r="F10" s="66"/>
      <c r="G10" s="66"/>
      <c r="H10" s="66"/>
    </row>
    <row r="11" spans="1:8" ht="23.25" customHeight="1">
      <c r="A11" s="115" t="s">
        <v>473</v>
      </c>
      <c r="B11" s="116"/>
      <c r="C11" s="116"/>
      <c r="D11" s="116"/>
      <c r="E11" s="116"/>
      <c r="F11" s="116"/>
      <c r="G11" s="116"/>
      <c r="H11" s="66"/>
    </row>
    <row r="12" spans="1:8" ht="15">
      <c r="A12" s="66"/>
      <c r="B12" s="66"/>
      <c r="C12" s="66"/>
      <c r="D12" s="66"/>
      <c r="E12" s="66"/>
      <c r="F12" s="66"/>
      <c r="G12" s="66"/>
      <c r="H12" s="66"/>
    </row>
    <row r="13" spans="1:8" ht="15.75">
      <c r="A13" s="113" t="s">
        <v>9</v>
      </c>
      <c r="B13" s="113" t="s">
        <v>0</v>
      </c>
      <c r="C13" s="66"/>
      <c r="D13" s="66"/>
      <c r="E13" s="66"/>
      <c r="F13" s="66"/>
      <c r="G13" s="66"/>
      <c r="H13" s="66"/>
    </row>
    <row r="14" spans="1:8" ht="16.5" thickBot="1">
      <c r="A14" s="86"/>
      <c r="B14" s="86"/>
      <c r="C14" s="66"/>
      <c r="D14" s="66"/>
      <c r="E14" s="66"/>
      <c r="F14" s="93"/>
      <c r="G14" s="93" t="s">
        <v>33</v>
      </c>
      <c r="H14" s="66"/>
    </row>
    <row r="15" spans="1:8" ht="15.75">
      <c r="A15" s="120" t="s">
        <v>22</v>
      </c>
      <c r="B15" s="121"/>
      <c r="C15" s="105" t="s">
        <v>284</v>
      </c>
      <c r="D15" s="105" t="s">
        <v>2</v>
      </c>
      <c r="E15" s="105" t="s">
        <v>284</v>
      </c>
      <c r="F15" s="105" t="s">
        <v>3</v>
      </c>
      <c r="G15" s="105" t="s">
        <v>3</v>
      </c>
      <c r="H15" s="66"/>
    </row>
    <row r="16" spans="1:8" ht="15.75">
      <c r="A16" s="94"/>
      <c r="B16" s="95"/>
      <c r="C16" s="106">
        <v>1</v>
      </c>
      <c r="D16" s="106">
        <v>2</v>
      </c>
      <c r="E16" s="106">
        <v>3</v>
      </c>
      <c r="F16" s="106">
        <v>4</v>
      </c>
      <c r="G16" s="106">
        <v>5</v>
      </c>
      <c r="H16" s="66"/>
    </row>
    <row r="17" spans="1:8" ht="16.5" thickBot="1">
      <c r="A17" s="96"/>
      <c r="B17" s="97"/>
      <c r="C17" s="107" t="s">
        <v>285</v>
      </c>
      <c r="D17" s="107" t="s">
        <v>6</v>
      </c>
      <c r="E17" s="107" t="s">
        <v>228</v>
      </c>
      <c r="F17" s="108" t="s">
        <v>286</v>
      </c>
      <c r="G17" s="108" t="s">
        <v>8</v>
      </c>
      <c r="H17" s="66"/>
    </row>
    <row r="18" spans="1:8" ht="15.75" thickBot="1">
      <c r="A18" s="98">
        <v>6</v>
      </c>
      <c r="B18" s="99" t="s">
        <v>10</v>
      </c>
      <c r="C18" s="100">
        <v>1135756.37</v>
      </c>
      <c r="D18" s="100">
        <v>3534304.33</v>
      </c>
      <c r="E18" s="100">
        <v>1243626.98</v>
      </c>
      <c r="F18" s="100">
        <f>E18/C18*100</f>
        <v>109.49768919191709</v>
      </c>
      <c r="G18" s="100">
        <f>E18/D18*100</f>
        <v>35.1873201592688</v>
      </c>
      <c r="H18" s="66"/>
    </row>
    <row r="19" spans="1:8" ht="15.75" thickBot="1">
      <c r="A19" s="99" t="s">
        <v>5</v>
      </c>
      <c r="B19" s="99" t="s">
        <v>11</v>
      </c>
      <c r="C19" s="100">
        <v>194340.83</v>
      </c>
      <c r="D19" s="100">
        <v>76979.23</v>
      </c>
      <c r="E19" s="100">
        <v>66808</v>
      </c>
      <c r="F19" s="100">
        <f aca="true" t="shared" si="0" ref="F19:F24">E19/C19*100</f>
        <v>34.37671846929953</v>
      </c>
      <c r="G19" s="100">
        <f aca="true" t="shared" si="1" ref="G19:G24">E19/D19*100</f>
        <v>86.7870463240539</v>
      </c>
      <c r="H19" s="66"/>
    </row>
    <row r="20" spans="1:8" ht="16.5" thickBot="1">
      <c r="A20" s="99"/>
      <c r="B20" s="101" t="s">
        <v>23</v>
      </c>
      <c r="C20" s="102">
        <f>C18+C19</f>
        <v>1330097.2000000002</v>
      </c>
      <c r="D20" s="102">
        <f>D18+D19</f>
        <v>3611283.56</v>
      </c>
      <c r="E20" s="102">
        <f>E18+E19</f>
        <v>1310434.98</v>
      </c>
      <c r="F20" s="102">
        <f t="shared" si="0"/>
        <v>98.52174562881568</v>
      </c>
      <c r="G20" s="102">
        <f t="shared" si="1"/>
        <v>36.28723577718721</v>
      </c>
      <c r="H20" s="66"/>
    </row>
    <row r="21" spans="1:8" ht="15.75" thickBot="1">
      <c r="A21" s="99" t="s">
        <v>12</v>
      </c>
      <c r="B21" s="99" t="s">
        <v>13</v>
      </c>
      <c r="C21" s="100">
        <v>871854.95</v>
      </c>
      <c r="D21" s="100">
        <v>2159148.58</v>
      </c>
      <c r="E21" s="100">
        <v>1037147.03</v>
      </c>
      <c r="F21" s="100">
        <f t="shared" si="0"/>
        <v>118.95866737924699</v>
      </c>
      <c r="G21" s="100">
        <f t="shared" si="1"/>
        <v>48.03500044448076</v>
      </c>
      <c r="H21" s="66"/>
    </row>
    <row r="22" spans="1:8" ht="15.75" thickBot="1">
      <c r="A22" s="99" t="s">
        <v>14</v>
      </c>
      <c r="B22" s="99" t="s">
        <v>15</v>
      </c>
      <c r="C22" s="100">
        <v>466047.8</v>
      </c>
      <c r="D22" s="100">
        <v>2229743.18</v>
      </c>
      <c r="E22" s="100">
        <v>129966.91</v>
      </c>
      <c r="F22" s="100">
        <f t="shared" si="0"/>
        <v>27.8870343342464</v>
      </c>
      <c r="G22" s="100">
        <f t="shared" si="1"/>
        <v>5.828783833302273</v>
      </c>
      <c r="H22" s="66"/>
    </row>
    <row r="23" spans="1:8" ht="16.5" thickBot="1">
      <c r="A23" s="99"/>
      <c r="B23" s="101" t="s">
        <v>24</v>
      </c>
      <c r="C23" s="102">
        <f>C21+C22</f>
        <v>1337902.75</v>
      </c>
      <c r="D23" s="102">
        <f>D21+D22</f>
        <v>4388891.76</v>
      </c>
      <c r="E23" s="102">
        <f>E21+E22</f>
        <v>1167113.94</v>
      </c>
      <c r="F23" s="102">
        <f t="shared" si="0"/>
        <v>87.23458711778565</v>
      </c>
      <c r="G23" s="102">
        <f t="shared" si="1"/>
        <v>26.592452122811068</v>
      </c>
      <c r="H23" s="66"/>
    </row>
    <row r="24" spans="1:8" ht="16.5" thickBot="1">
      <c r="A24" s="114" t="s">
        <v>25</v>
      </c>
      <c r="B24" s="114" t="s">
        <v>0</v>
      </c>
      <c r="C24" s="102">
        <f>C20-C23</f>
        <v>-7805.549999999814</v>
      </c>
      <c r="D24" s="102">
        <f>D20-D23</f>
        <v>-777608.1999999997</v>
      </c>
      <c r="E24" s="102">
        <f>E20-E23</f>
        <v>143321.04000000004</v>
      </c>
      <c r="F24" s="102">
        <f t="shared" si="0"/>
        <v>-1836.1427445856275</v>
      </c>
      <c r="G24" s="102">
        <f t="shared" si="1"/>
        <v>-18.43100934378008</v>
      </c>
      <c r="H24" s="66"/>
    </row>
    <row r="25" spans="1:8" ht="14.25" customHeight="1">
      <c r="A25" s="66"/>
      <c r="B25" s="66"/>
      <c r="C25" s="66"/>
      <c r="D25" s="66"/>
      <c r="E25" s="66"/>
      <c r="F25" s="66"/>
      <c r="G25" s="66"/>
      <c r="H25" s="66"/>
    </row>
    <row r="26" spans="1:8" ht="15.75">
      <c r="A26" s="113" t="s">
        <v>16</v>
      </c>
      <c r="B26" s="113" t="s">
        <v>0</v>
      </c>
      <c r="C26" s="66"/>
      <c r="D26" s="66"/>
      <c r="E26" s="66"/>
      <c r="F26" s="66"/>
      <c r="G26" s="66"/>
      <c r="H26" s="66"/>
    </row>
    <row r="27" spans="1:8" ht="16.5" thickBot="1">
      <c r="A27" s="86"/>
      <c r="B27" s="86"/>
      <c r="C27" s="66"/>
      <c r="D27" s="66"/>
      <c r="E27" s="66"/>
      <c r="F27" s="66"/>
      <c r="G27" s="66"/>
      <c r="H27" s="66"/>
    </row>
    <row r="28" spans="1:8" ht="15.75">
      <c r="A28" s="118" t="s">
        <v>22</v>
      </c>
      <c r="B28" s="119"/>
      <c r="C28" s="105" t="s">
        <v>284</v>
      </c>
      <c r="D28" s="105" t="s">
        <v>2</v>
      </c>
      <c r="E28" s="105" t="s">
        <v>284</v>
      </c>
      <c r="F28" s="105" t="s">
        <v>3</v>
      </c>
      <c r="G28" s="105" t="s">
        <v>3</v>
      </c>
      <c r="H28" s="66"/>
    </row>
    <row r="29" spans="1:8" ht="15.75">
      <c r="A29" s="94"/>
      <c r="B29" s="95"/>
      <c r="C29" s="106">
        <v>1</v>
      </c>
      <c r="D29" s="106">
        <v>2</v>
      </c>
      <c r="E29" s="106">
        <v>3</v>
      </c>
      <c r="F29" s="106">
        <v>4</v>
      </c>
      <c r="G29" s="106">
        <v>5</v>
      </c>
      <c r="H29" s="66"/>
    </row>
    <row r="30" spans="1:8" ht="16.5" thickBot="1">
      <c r="A30" s="96"/>
      <c r="B30" s="97"/>
      <c r="C30" s="107" t="s">
        <v>285</v>
      </c>
      <c r="D30" s="107" t="s">
        <v>6</v>
      </c>
      <c r="E30" s="107" t="s">
        <v>228</v>
      </c>
      <c r="F30" s="108" t="s">
        <v>286</v>
      </c>
      <c r="G30" s="108" t="s">
        <v>8</v>
      </c>
      <c r="H30" s="66"/>
    </row>
    <row r="31" spans="1:8" ht="15.75" thickBot="1">
      <c r="A31" s="98">
        <v>8</v>
      </c>
      <c r="B31" s="99" t="s">
        <v>17</v>
      </c>
      <c r="C31" s="100">
        <v>0</v>
      </c>
      <c r="D31" s="100">
        <v>1060455.24</v>
      </c>
      <c r="E31" s="100">
        <v>0</v>
      </c>
      <c r="F31" s="100"/>
      <c r="G31" s="100">
        <v>0</v>
      </c>
      <c r="H31" s="66"/>
    </row>
    <row r="32" spans="1:8" ht="15.75" thickBot="1">
      <c r="A32" s="98" t="s">
        <v>4</v>
      </c>
      <c r="B32" s="99" t="s">
        <v>18</v>
      </c>
      <c r="C32" s="100">
        <v>225748.89</v>
      </c>
      <c r="D32" s="100">
        <v>282847.04</v>
      </c>
      <c r="E32" s="100">
        <v>101001.69</v>
      </c>
      <c r="F32" s="100">
        <f>E32/C32*100</f>
        <v>44.7407249710065</v>
      </c>
      <c r="G32" s="100">
        <f>E32/D32*100</f>
        <v>35.70894360428874</v>
      </c>
      <c r="H32" s="66"/>
    </row>
    <row r="33" spans="1:8" ht="23.25" customHeight="1" thickBot="1">
      <c r="A33" s="114" t="s">
        <v>19</v>
      </c>
      <c r="B33" s="114" t="s">
        <v>0</v>
      </c>
      <c r="C33" s="102">
        <f>C31-C32</f>
        <v>-225748.89</v>
      </c>
      <c r="D33" s="102">
        <f>D31-D32</f>
        <v>777608.2</v>
      </c>
      <c r="E33" s="102">
        <f>E31-E32</f>
        <v>-101001.69</v>
      </c>
      <c r="F33" s="102">
        <f>E33/C33*100</f>
        <v>44.7407249710065</v>
      </c>
      <c r="G33" s="102">
        <f>E33/D33*100</f>
        <v>-12.98876349297757</v>
      </c>
      <c r="H33" s="66"/>
    </row>
    <row r="34" spans="1:8" ht="15">
      <c r="A34" s="66"/>
      <c r="B34" s="66"/>
      <c r="C34" s="66"/>
      <c r="D34" s="66"/>
      <c r="E34" s="66"/>
      <c r="F34" s="66"/>
      <c r="G34" s="66"/>
      <c r="H34" s="66"/>
    </row>
    <row r="35" spans="1:8" ht="15.75">
      <c r="A35" s="113" t="s">
        <v>26</v>
      </c>
      <c r="B35" s="113"/>
      <c r="C35" s="113"/>
      <c r="D35" s="66"/>
      <c r="E35" s="66"/>
      <c r="F35" s="66"/>
      <c r="G35" s="66"/>
      <c r="H35" s="66"/>
    </row>
    <row r="36" spans="1:8" ht="16.5" thickBot="1">
      <c r="A36" s="86"/>
      <c r="B36" s="86"/>
      <c r="C36" s="86"/>
      <c r="D36" s="66"/>
      <c r="E36" s="66"/>
      <c r="F36" s="66"/>
      <c r="G36" s="66"/>
      <c r="H36" s="66"/>
    </row>
    <row r="37" spans="1:8" ht="15.75">
      <c r="A37" s="118" t="s">
        <v>22</v>
      </c>
      <c r="B37" s="122"/>
      <c r="C37" s="105" t="s">
        <v>284</v>
      </c>
      <c r="D37" s="105" t="s">
        <v>2</v>
      </c>
      <c r="E37" s="105" t="s">
        <v>284</v>
      </c>
      <c r="F37" s="105" t="s">
        <v>3</v>
      </c>
      <c r="G37" s="105" t="s">
        <v>3</v>
      </c>
      <c r="H37" s="66"/>
    </row>
    <row r="38" spans="1:8" ht="15.75">
      <c r="A38" s="94"/>
      <c r="B38" s="109"/>
      <c r="C38" s="106">
        <v>1</v>
      </c>
      <c r="D38" s="106">
        <v>2</v>
      </c>
      <c r="E38" s="106">
        <v>3</v>
      </c>
      <c r="F38" s="106">
        <v>4</v>
      </c>
      <c r="G38" s="106">
        <v>5</v>
      </c>
      <c r="H38" s="66"/>
    </row>
    <row r="39" spans="1:8" ht="16.5" thickBot="1">
      <c r="A39" s="96"/>
      <c r="B39" s="103"/>
      <c r="C39" s="107" t="s">
        <v>285</v>
      </c>
      <c r="D39" s="107" t="s">
        <v>6</v>
      </c>
      <c r="E39" s="107" t="s">
        <v>228</v>
      </c>
      <c r="F39" s="108" t="s">
        <v>286</v>
      </c>
      <c r="G39" s="108" t="s">
        <v>8</v>
      </c>
      <c r="H39" s="66"/>
    </row>
    <row r="40" spans="1:8" ht="15.75" thickBot="1">
      <c r="A40" s="110" t="s">
        <v>27</v>
      </c>
      <c r="B40" s="111"/>
      <c r="C40" s="100">
        <v>0</v>
      </c>
      <c r="D40" s="100">
        <v>0</v>
      </c>
      <c r="E40" s="100">
        <v>0</v>
      </c>
      <c r="F40" s="100"/>
      <c r="G40" s="100"/>
      <c r="H40" s="66"/>
    </row>
    <row r="41" spans="1:8" ht="15.75" thickBot="1">
      <c r="A41" s="110" t="s">
        <v>28</v>
      </c>
      <c r="B41" s="111"/>
      <c r="C41" s="100">
        <v>201590.13</v>
      </c>
      <c r="D41" s="100">
        <v>0</v>
      </c>
      <c r="E41" s="100">
        <v>123771.43</v>
      </c>
      <c r="F41" s="100">
        <f>E41/C41*100</f>
        <v>61.397564454172425</v>
      </c>
      <c r="G41" s="100"/>
      <c r="H41" s="66"/>
    </row>
    <row r="42" spans="1:8" ht="15.75" thickBot="1">
      <c r="A42" s="110" t="s">
        <v>29</v>
      </c>
      <c r="B42" s="111"/>
      <c r="C42" s="100">
        <f>-(1759715.68/7.5345)</f>
        <v>-233554.40706085338</v>
      </c>
      <c r="D42" s="100">
        <v>0</v>
      </c>
      <c r="E42" s="100">
        <v>0</v>
      </c>
      <c r="F42" s="100">
        <f>E42/C42*100</f>
        <v>0</v>
      </c>
      <c r="G42" s="100"/>
      <c r="H42" s="66"/>
    </row>
    <row r="43" spans="1:8" ht="15.75" thickBot="1">
      <c r="A43" s="110" t="s">
        <v>30</v>
      </c>
      <c r="B43" s="111"/>
      <c r="C43" s="100">
        <f>C24+C33+C41</f>
        <v>-31964.309999999823</v>
      </c>
      <c r="D43" s="100">
        <v>0</v>
      </c>
      <c r="E43" s="100">
        <f>E24+E33+E41</f>
        <v>166090.78000000003</v>
      </c>
      <c r="F43" s="100">
        <f>E43/C43*100</f>
        <v>-519.6132186178927</v>
      </c>
      <c r="G43" s="100"/>
      <c r="H43" s="66"/>
    </row>
    <row r="44" spans="1:8" ht="15.75" thickBot="1">
      <c r="A44" s="66"/>
      <c r="B44" s="66"/>
      <c r="C44" s="66"/>
      <c r="D44" s="66"/>
      <c r="E44" s="66"/>
      <c r="F44" s="66"/>
      <c r="G44" s="66"/>
      <c r="H44" s="66"/>
    </row>
    <row r="45" spans="1:8" ht="33.75" customHeight="1" thickBot="1">
      <c r="A45" s="112" t="s">
        <v>31</v>
      </c>
      <c r="B45" s="112"/>
      <c r="C45" s="102">
        <f>C24+C33+C41-C43</f>
        <v>0</v>
      </c>
      <c r="D45" s="102">
        <f>D24+D33+D43+D41</f>
        <v>2.3283064365386963E-10</v>
      </c>
      <c r="E45" s="102">
        <f>E24+E33+E41-E43</f>
        <v>0</v>
      </c>
      <c r="F45" s="102"/>
      <c r="G45" s="102"/>
      <c r="H45" s="66"/>
    </row>
    <row r="46" spans="1:8" ht="15">
      <c r="A46" s="66"/>
      <c r="B46" s="66"/>
      <c r="C46" s="66"/>
      <c r="D46" s="66"/>
      <c r="E46" s="66"/>
      <c r="F46" s="66"/>
      <c r="G46" s="66"/>
      <c r="H46" s="66"/>
    </row>
    <row r="47" spans="1:8" ht="15.75">
      <c r="A47" s="117" t="s">
        <v>32</v>
      </c>
      <c r="B47" s="116"/>
      <c r="C47" s="116"/>
      <c r="D47" s="116"/>
      <c r="E47" s="116"/>
      <c r="F47" s="116"/>
      <c r="G47" s="116"/>
      <c r="H47" s="66"/>
    </row>
    <row r="48" spans="1:8" ht="15.75">
      <c r="A48" s="104"/>
      <c r="B48" s="104"/>
      <c r="C48" s="104"/>
      <c r="D48" s="104"/>
      <c r="E48" s="104"/>
      <c r="F48" s="104"/>
      <c r="G48" s="66"/>
      <c r="H48" s="66"/>
    </row>
    <row r="49" spans="1:8" ht="40.5" customHeight="1">
      <c r="A49" s="115" t="s">
        <v>474</v>
      </c>
      <c r="B49" s="116"/>
      <c r="C49" s="116"/>
      <c r="D49" s="116"/>
      <c r="E49" s="116"/>
      <c r="F49" s="116"/>
      <c r="G49" s="116"/>
      <c r="H49" s="66"/>
    </row>
  </sheetData>
  <sheetProtection/>
  <mergeCells count="22">
    <mergeCell ref="A11:G11"/>
    <mergeCell ref="A1:F1"/>
    <mergeCell ref="A4:B4"/>
    <mergeCell ref="A6:G6"/>
    <mergeCell ref="A3:G3"/>
    <mergeCell ref="A8:F8"/>
    <mergeCell ref="A9:G9"/>
    <mergeCell ref="A13:B13"/>
    <mergeCell ref="A49:G49"/>
    <mergeCell ref="A47:G47"/>
    <mergeCell ref="A28:B28"/>
    <mergeCell ref="A15:B15"/>
    <mergeCell ref="A41:B41"/>
    <mergeCell ref="A24:B24"/>
    <mergeCell ref="A37:B37"/>
    <mergeCell ref="A42:B42"/>
    <mergeCell ref="A43:B43"/>
    <mergeCell ref="A45:B45"/>
    <mergeCell ref="A40:B40"/>
    <mergeCell ref="A26:B26"/>
    <mergeCell ref="A33:B33"/>
    <mergeCell ref="A35:C35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3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4.28125" style="0" customWidth="1"/>
    <col min="2" max="2" width="88.140625" style="0" customWidth="1"/>
    <col min="3" max="3" width="13.421875" style="0" customWidth="1"/>
    <col min="4" max="4" width="14.00390625" style="0" customWidth="1"/>
    <col min="5" max="5" width="13.8515625" style="0" customWidth="1"/>
    <col min="6" max="6" width="9.28125" style="0" customWidth="1"/>
    <col min="7" max="7" width="8.57421875" style="0" customWidth="1"/>
    <col min="8" max="8" width="12.8515625" style="0" customWidth="1"/>
    <col min="9" max="9" width="8.57421875" style="0" customWidth="1"/>
  </cols>
  <sheetData>
    <row r="2" spans="1:10" ht="18">
      <c r="A2" s="129" t="s">
        <v>281</v>
      </c>
      <c r="B2" s="135"/>
      <c r="C2" s="135"/>
      <c r="D2" s="135"/>
      <c r="E2" s="135"/>
      <c r="F2" s="135"/>
      <c r="G2" s="135"/>
      <c r="H2" s="10"/>
      <c r="I2" s="10"/>
      <c r="J2" s="7"/>
    </row>
    <row r="3" spans="1:9" ht="18">
      <c r="A3" s="128" t="s">
        <v>20</v>
      </c>
      <c r="B3" s="136"/>
      <c r="C3" s="136"/>
      <c r="D3" s="136"/>
      <c r="E3" s="136"/>
      <c r="F3" s="136"/>
      <c r="G3" s="10"/>
      <c r="H3" s="10"/>
      <c r="I3" s="10"/>
    </row>
    <row r="4" ht="12.75">
      <c r="I4" s="12"/>
    </row>
    <row r="5" spans="3:7" ht="12.75">
      <c r="C5" s="72" t="s">
        <v>284</v>
      </c>
      <c r="D5" s="6" t="s">
        <v>2</v>
      </c>
      <c r="E5" s="72" t="s">
        <v>284</v>
      </c>
      <c r="F5" s="6" t="s">
        <v>3</v>
      </c>
      <c r="G5" s="6" t="s">
        <v>3</v>
      </c>
    </row>
    <row r="6" spans="3:7" ht="12.75">
      <c r="C6" s="6">
        <v>1</v>
      </c>
      <c r="D6" s="6">
        <v>2</v>
      </c>
      <c r="E6" s="6">
        <v>3</v>
      </c>
      <c r="F6" s="6">
        <v>4</v>
      </c>
      <c r="G6" s="6">
        <v>5</v>
      </c>
    </row>
    <row r="7" spans="1:7" ht="12.75">
      <c r="A7" s="1" t="s">
        <v>1</v>
      </c>
      <c r="B7" s="8" t="s">
        <v>70</v>
      </c>
      <c r="C7" s="72" t="s">
        <v>285</v>
      </c>
      <c r="D7" s="6" t="s">
        <v>6</v>
      </c>
      <c r="E7" s="72" t="s">
        <v>228</v>
      </c>
      <c r="F7" s="74" t="s">
        <v>286</v>
      </c>
      <c r="G7" s="73" t="s">
        <v>8</v>
      </c>
    </row>
    <row r="8" spans="1:7" ht="12.75">
      <c r="A8" s="134" t="s">
        <v>35</v>
      </c>
      <c r="B8" s="134" t="s">
        <v>0</v>
      </c>
      <c r="C8" s="4"/>
      <c r="D8" s="4"/>
      <c r="E8" s="4"/>
      <c r="F8" s="4"/>
      <c r="G8" s="4"/>
    </row>
    <row r="9" spans="1:7" ht="12.75">
      <c r="A9" s="17" t="s">
        <v>37</v>
      </c>
      <c r="B9" s="17"/>
      <c r="C9" s="17">
        <f>C10+C25+C37+C46+C56+C61</f>
        <v>1135756.37</v>
      </c>
      <c r="D9" s="17">
        <v>3534304.33</v>
      </c>
      <c r="E9" s="17">
        <f>E10+E25+E37+E46+E56</f>
        <v>1243626.9799999997</v>
      </c>
      <c r="F9" s="17">
        <f>E9/C9*100</f>
        <v>109.49768919191708</v>
      </c>
      <c r="G9" s="17">
        <f>E9/D9*100</f>
        <v>35.187320159268786</v>
      </c>
    </row>
    <row r="10" spans="1:7" ht="12.75">
      <c r="A10" s="3" t="s">
        <v>38</v>
      </c>
      <c r="B10" s="3"/>
      <c r="C10" s="3">
        <f>C11+C18+C21+C23</f>
        <v>468019.7800000001</v>
      </c>
      <c r="D10" s="3">
        <v>1162089.2</v>
      </c>
      <c r="E10" s="3">
        <f>E11+E18+E21</f>
        <v>670541.6499999999</v>
      </c>
      <c r="F10" s="3">
        <f>E10/C10*100</f>
        <v>143.27207495375512</v>
      </c>
      <c r="G10" s="3">
        <f>E10/D10*100</f>
        <v>57.701392457652986</v>
      </c>
    </row>
    <row r="11" spans="1:7" ht="12.75">
      <c r="A11" s="133" t="s">
        <v>357</v>
      </c>
      <c r="B11" s="116"/>
      <c r="C11" s="3">
        <f>C12+C13+C14+C15+C16-C17</f>
        <v>328134.5800000001</v>
      </c>
      <c r="D11" s="3"/>
      <c r="E11" s="3">
        <f>E12+E13+E14+E15+E16-E17</f>
        <v>404113.5599999998</v>
      </c>
      <c r="F11" s="3">
        <f aca="true" t="shared" si="0" ref="F11:F63">E11/C11*100</f>
        <v>123.15482263405453</v>
      </c>
      <c r="G11" s="3"/>
    </row>
    <row r="12" spans="1:7" s="55" customFormat="1" ht="12.75">
      <c r="A12" s="130" t="s">
        <v>358</v>
      </c>
      <c r="B12" s="131"/>
      <c r="C12" s="54">
        <v>246983.22</v>
      </c>
      <c r="D12" s="54"/>
      <c r="E12" s="54">
        <v>363774.03</v>
      </c>
      <c r="F12" s="54">
        <f t="shared" si="0"/>
        <v>147.28694119381876</v>
      </c>
      <c r="G12" s="54"/>
    </row>
    <row r="13" spans="1:7" s="55" customFormat="1" ht="12.75">
      <c r="A13" s="130" t="s">
        <v>359</v>
      </c>
      <c r="B13" s="131"/>
      <c r="C13" s="54">
        <v>33986.71</v>
      </c>
      <c r="D13" s="54"/>
      <c r="E13" s="54">
        <v>40528.72</v>
      </c>
      <c r="F13" s="54">
        <f t="shared" si="0"/>
        <v>119.24872987117612</v>
      </c>
      <c r="G13" s="54"/>
    </row>
    <row r="14" spans="1:7" s="55" customFormat="1" ht="12.75">
      <c r="A14" s="130" t="s">
        <v>360</v>
      </c>
      <c r="B14" s="131"/>
      <c r="C14" s="54">
        <v>154377.32</v>
      </c>
      <c r="D14" s="54"/>
      <c r="E14" s="54">
        <v>132755.84</v>
      </c>
      <c r="F14" s="54">
        <f t="shared" si="0"/>
        <v>85.99439347696928</v>
      </c>
      <c r="G14" s="54"/>
    </row>
    <row r="15" spans="1:7" s="55" customFormat="1" ht="12.75">
      <c r="A15" s="130" t="s">
        <v>361</v>
      </c>
      <c r="B15" s="131"/>
      <c r="C15" s="54">
        <v>10635.52</v>
      </c>
      <c r="D15" s="54"/>
      <c r="E15" s="54">
        <v>4993.45</v>
      </c>
      <c r="F15" s="54">
        <f t="shared" si="0"/>
        <v>46.9506897641112</v>
      </c>
      <c r="G15" s="54"/>
    </row>
    <row r="16" spans="1:7" s="55" customFormat="1" ht="12.75">
      <c r="A16" s="130" t="s">
        <v>362</v>
      </c>
      <c r="B16" s="131"/>
      <c r="C16" s="54">
        <v>19046.9</v>
      </c>
      <c r="D16" s="54"/>
      <c r="E16" s="54">
        <v>19134.19</v>
      </c>
      <c r="F16" s="54">
        <f t="shared" si="0"/>
        <v>100.45828980043996</v>
      </c>
      <c r="G16" s="54"/>
    </row>
    <row r="17" spans="1:7" s="55" customFormat="1" ht="12.75">
      <c r="A17" s="130" t="s">
        <v>363</v>
      </c>
      <c r="B17" s="131"/>
      <c r="C17" s="54">
        <v>136895.09</v>
      </c>
      <c r="D17" s="54"/>
      <c r="E17" s="54">
        <v>157072.67</v>
      </c>
      <c r="F17" s="54">
        <f t="shared" si="0"/>
        <v>114.73944755798036</v>
      </c>
      <c r="G17" s="54"/>
    </row>
    <row r="18" spans="1:7" ht="12.75">
      <c r="A18" s="133" t="s">
        <v>364</v>
      </c>
      <c r="B18" s="116"/>
      <c r="C18" s="3">
        <f>C19+C20</f>
        <v>134629.77</v>
      </c>
      <c r="D18" s="3"/>
      <c r="E18" s="3">
        <f>E19+E20</f>
        <v>261432.28</v>
      </c>
      <c r="F18" s="3">
        <f t="shared" si="0"/>
        <v>194.18608529153693</v>
      </c>
      <c r="G18" s="3"/>
    </row>
    <row r="19" spans="1:7" s="55" customFormat="1" ht="12.75">
      <c r="A19" s="130" t="s">
        <v>365</v>
      </c>
      <c r="B19" s="131"/>
      <c r="C19" s="54">
        <v>24791.91</v>
      </c>
      <c r="D19" s="54"/>
      <c r="E19" s="54">
        <v>17083.27</v>
      </c>
      <c r="F19" s="54">
        <f t="shared" si="0"/>
        <v>68.90663123575392</v>
      </c>
      <c r="G19" s="54"/>
    </row>
    <row r="20" spans="1:7" s="55" customFormat="1" ht="12.75">
      <c r="A20" s="130" t="s">
        <v>366</v>
      </c>
      <c r="B20" s="131"/>
      <c r="C20" s="54">
        <v>109837.86</v>
      </c>
      <c r="D20" s="54"/>
      <c r="E20" s="54">
        <v>244349.01</v>
      </c>
      <c r="F20" s="54">
        <f t="shared" si="0"/>
        <v>222.4633746505986</v>
      </c>
      <c r="G20" s="54"/>
    </row>
    <row r="21" spans="1:7" ht="12.75">
      <c r="A21" s="133" t="s">
        <v>367</v>
      </c>
      <c r="B21" s="116"/>
      <c r="C21" s="3">
        <f>C22</f>
        <v>5255.42</v>
      </c>
      <c r="D21" s="3"/>
      <c r="E21" s="3">
        <f>E22</f>
        <v>4995.81</v>
      </c>
      <c r="F21" s="3">
        <f t="shared" si="0"/>
        <v>95.06014742874976</v>
      </c>
      <c r="G21" s="3"/>
    </row>
    <row r="22" spans="1:7" s="55" customFormat="1" ht="12.75">
      <c r="A22" s="130" t="s">
        <v>368</v>
      </c>
      <c r="B22" s="131"/>
      <c r="C22" s="54">
        <v>5255.42</v>
      </c>
      <c r="D22" s="54"/>
      <c r="E22" s="54">
        <v>4995.81</v>
      </c>
      <c r="F22" s="54">
        <f t="shared" si="0"/>
        <v>95.06014742874976</v>
      </c>
      <c r="G22" s="54"/>
    </row>
    <row r="23" spans="1:7" ht="12.75">
      <c r="A23" s="133" t="s">
        <v>369</v>
      </c>
      <c r="B23" s="116"/>
      <c r="C23" s="3">
        <f>C24</f>
        <v>0.01</v>
      </c>
      <c r="D23" s="3"/>
      <c r="E23" s="3">
        <v>0</v>
      </c>
      <c r="F23" s="3">
        <f t="shared" si="0"/>
        <v>0</v>
      </c>
      <c r="G23" s="3"/>
    </row>
    <row r="24" spans="1:7" s="55" customFormat="1" ht="12.75">
      <c r="A24" s="130" t="s">
        <v>370</v>
      </c>
      <c r="B24" s="131"/>
      <c r="C24" s="54">
        <v>0.01</v>
      </c>
      <c r="D24" s="54"/>
      <c r="E24" s="54">
        <v>0</v>
      </c>
      <c r="F24" s="54">
        <f t="shared" si="0"/>
        <v>0</v>
      </c>
      <c r="G24" s="54"/>
    </row>
    <row r="25" spans="1:7" ht="12.75">
      <c r="A25" s="3" t="s">
        <v>40</v>
      </c>
      <c r="B25" s="3"/>
      <c r="C25" s="3">
        <f>C26+C29+C31+C33+C35</f>
        <v>420956.73</v>
      </c>
      <c r="D25" s="3">
        <v>1373562.28</v>
      </c>
      <c r="E25" s="3">
        <f>E26+E31+E35</f>
        <v>357957.88</v>
      </c>
      <c r="F25" s="3">
        <f t="shared" si="0"/>
        <v>85.0343644583138</v>
      </c>
      <c r="G25" s="3">
        <f>E25/D25*100</f>
        <v>26.060549653416516</v>
      </c>
    </row>
    <row r="26" spans="1:7" ht="12.75">
      <c r="A26" s="133" t="s">
        <v>346</v>
      </c>
      <c r="B26" s="116"/>
      <c r="C26" s="3">
        <f>C27+C28</f>
        <v>254396.32</v>
      </c>
      <c r="D26" s="3"/>
      <c r="E26" s="3">
        <f>E27</f>
        <v>278431.21</v>
      </c>
      <c r="F26" s="3">
        <f t="shared" si="0"/>
        <v>109.44781355327781</v>
      </c>
      <c r="G26" s="3"/>
    </row>
    <row r="27" spans="1:7" s="55" customFormat="1" ht="12.75">
      <c r="A27" s="130" t="s">
        <v>347</v>
      </c>
      <c r="B27" s="131"/>
      <c r="C27" s="54">
        <v>186409.63</v>
      </c>
      <c r="D27" s="54"/>
      <c r="E27" s="54">
        <v>278431.21</v>
      </c>
      <c r="F27" s="54">
        <f t="shared" si="0"/>
        <v>149.36525006782105</v>
      </c>
      <c r="G27" s="54"/>
    </row>
    <row r="28" spans="1:7" s="55" customFormat="1" ht="12.75">
      <c r="A28" s="130" t="s">
        <v>348</v>
      </c>
      <c r="B28" s="131"/>
      <c r="C28" s="54">
        <v>67986.69</v>
      </c>
      <c r="D28" s="54"/>
      <c r="E28" s="54">
        <v>0</v>
      </c>
      <c r="F28" s="54">
        <f t="shared" si="0"/>
        <v>0</v>
      </c>
      <c r="G28" s="54"/>
    </row>
    <row r="29" spans="1:7" ht="12.75">
      <c r="A29" s="133" t="s">
        <v>349</v>
      </c>
      <c r="B29" s="116"/>
      <c r="C29" s="3">
        <f>C30</f>
        <v>47236.66</v>
      </c>
      <c r="D29" s="3"/>
      <c r="E29" s="3">
        <v>0</v>
      </c>
      <c r="F29" s="3">
        <f t="shared" si="0"/>
        <v>0</v>
      </c>
      <c r="G29" s="3"/>
    </row>
    <row r="30" spans="1:7" s="55" customFormat="1" ht="12.75">
      <c r="A30" s="130" t="s">
        <v>350</v>
      </c>
      <c r="B30" s="131"/>
      <c r="C30" s="54">
        <v>47236.66</v>
      </c>
      <c r="D30" s="54"/>
      <c r="E30" s="54">
        <v>0</v>
      </c>
      <c r="F30" s="54">
        <f t="shared" si="0"/>
        <v>0</v>
      </c>
      <c r="G30" s="54"/>
    </row>
    <row r="31" spans="1:7" ht="12.75">
      <c r="A31" s="133" t="s">
        <v>351</v>
      </c>
      <c r="B31" s="116"/>
      <c r="C31" s="3">
        <f>C32</f>
        <v>36648.09</v>
      </c>
      <c r="D31" s="3"/>
      <c r="E31" s="3">
        <f>E32</f>
        <v>34498</v>
      </c>
      <c r="F31" s="3">
        <f t="shared" si="0"/>
        <v>94.13314582015053</v>
      </c>
      <c r="G31" s="3"/>
    </row>
    <row r="32" spans="1:7" s="55" customFormat="1" ht="12.75">
      <c r="A32" s="130" t="s">
        <v>352</v>
      </c>
      <c r="B32" s="131"/>
      <c r="C32" s="54">
        <v>36648.09</v>
      </c>
      <c r="D32" s="54"/>
      <c r="E32" s="54">
        <v>34498</v>
      </c>
      <c r="F32" s="54">
        <f t="shared" si="0"/>
        <v>94.13314582015053</v>
      </c>
      <c r="G32" s="54"/>
    </row>
    <row r="33" spans="1:7" ht="12.75">
      <c r="A33" s="133" t="s">
        <v>353</v>
      </c>
      <c r="B33" s="116"/>
      <c r="C33" s="3">
        <f>C34</f>
        <v>783.06</v>
      </c>
      <c r="D33" s="3"/>
      <c r="E33" s="3">
        <v>0</v>
      </c>
      <c r="F33" s="3">
        <f t="shared" si="0"/>
        <v>0</v>
      </c>
      <c r="G33" s="3"/>
    </row>
    <row r="34" spans="1:7" s="55" customFormat="1" ht="12.75">
      <c r="A34" s="130" t="s">
        <v>354</v>
      </c>
      <c r="B34" s="131"/>
      <c r="C34" s="54">
        <v>783.06</v>
      </c>
      <c r="D34" s="54"/>
      <c r="E34" s="54">
        <v>0</v>
      </c>
      <c r="F34" s="54">
        <f t="shared" si="0"/>
        <v>0</v>
      </c>
      <c r="G34" s="54"/>
    </row>
    <row r="35" spans="1:7" ht="12.75">
      <c r="A35" s="133" t="s">
        <v>355</v>
      </c>
      <c r="B35" s="116"/>
      <c r="C35" s="3">
        <f>C36</f>
        <v>81892.6</v>
      </c>
      <c r="D35" s="3"/>
      <c r="E35" s="3">
        <f>E36</f>
        <v>45028.67</v>
      </c>
      <c r="F35" s="3">
        <f t="shared" si="0"/>
        <v>54.985029172355006</v>
      </c>
      <c r="G35" s="3"/>
    </row>
    <row r="36" spans="1:7" s="55" customFormat="1" ht="12.75">
      <c r="A36" s="130" t="s">
        <v>356</v>
      </c>
      <c r="B36" s="131"/>
      <c r="C36" s="54">
        <v>81892.6</v>
      </c>
      <c r="D36" s="54"/>
      <c r="E36" s="54">
        <v>45028.67</v>
      </c>
      <c r="F36" s="54">
        <f t="shared" si="0"/>
        <v>54.985029172355006</v>
      </c>
      <c r="G36" s="54"/>
    </row>
    <row r="37" spans="1:7" ht="12.75">
      <c r="A37" s="3" t="s">
        <v>44</v>
      </c>
      <c r="B37" s="3"/>
      <c r="C37" s="3">
        <f>C38+C41</f>
        <v>45004.630000000005</v>
      </c>
      <c r="D37" s="3">
        <v>210027.19</v>
      </c>
      <c r="E37" s="3">
        <f>E38+E41</f>
        <v>67165.15</v>
      </c>
      <c r="F37" s="3">
        <f t="shared" si="0"/>
        <v>149.24053369619966</v>
      </c>
      <c r="G37" s="3">
        <f>E37/D37*100</f>
        <v>31.9792642086008</v>
      </c>
    </row>
    <row r="38" spans="1:7" ht="12.75">
      <c r="A38" s="133" t="s">
        <v>338</v>
      </c>
      <c r="B38" s="116"/>
      <c r="C38" s="3">
        <f>C39+C40</f>
        <v>108.91</v>
      </c>
      <c r="D38" s="3"/>
      <c r="E38" s="3">
        <f>E39</f>
        <v>5.22</v>
      </c>
      <c r="F38" s="3">
        <f t="shared" si="0"/>
        <v>4.792948305940685</v>
      </c>
      <c r="G38" s="3"/>
    </row>
    <row r="39" spans="1:7" s="55" customFormat="1" ht="12.75">
      <c r="A39" s="130" t="s">
        <v>339</v>
      </c>
      <c r="B39" s="131"/>
      <c r="C39" s="54">
        <v>11.46</v>
      </c>
      <c r="D39" s="54"/>
      <c r="E39" s="54">
        <v>5.22</v>
      </c>
      <c r="F39" s="54">
        <f t="shared" si="0"/>
        <v>45.54973821989528</v>
      </c>
      <c r="G39" s="54"/>
    </row>
    <row r="40" spans="1:7" s="55" customFormat="1" ht="12.75">
      <c r="A40" s="130" t="s">
        <v>340</v>
      </c>
      <c r="B40" s="131"/>
      <c r="C40" s="54">
        <v>97.45</v>
      </c>
      <c r="D40" s="54"/>
      <c r="E40" s="54">
        <v>0</v>
      </c>
      <c r="F40" s="54">
        <f t="shared" si="0"/>
        <v>0</v>
      </c>
      <c r="G40" s="54"/>
    </row>
    <row r="41" spans="1:7" ht="12.75">
      <c r="A41" s="133" t="s">
        <v>341</v>
      </c>
      <c r="B41" s="116"/>
      <c r="C41" s="3">
        <f>C42+C43+C44+C45</f>
        <v>44895.72</v>
      </c>
      <c r="D41" s="3"/>
      <c r="E41" s="3">
        <f>E42+E43+E44+E45</f>
        <v>67159.93</v>
      </c>
      <c r="F41" s="3">
        <f t="shared" si="0"/>
        <v>149.59094096274654</v>
      </c>
      <c r="G41" s="3"/>
    </row>
    <row r="42" spans="1:7" s="55" customFormat="1" ht="12.75">
      <c r="A42" s="130" t="s">
        <v>342</v>
      </c>
      <c r="B42" s="131"/>
      <c r="C42" s="54">
        <v>37152.69</v>
      </c>
      <c r="D42" s="54"/>
      <c r="E42" s="54">
        <v>44788.27</v>
      </c>
      <c r="F42" s="54">
        <f t="shared" si="0"/>
        <v>120.55189005156825</v>
      </c>
      <c r="G42" s="54"/>
    </row>
    <row r="43" spans="1:7" s="55" customFormat="1" ht="12.75">
      <c r="A43" s="130" t="s">
        <v>343</v>
      </c>
      <c r="B43" s="131"/>
      <c r="C43" s="54">
        <v>4423.13</v>
      </c>
      <c r="D43" s="54"/>
      <c r="E43" s="54">
        <v>10558.06</v>
      </c>
      <c r="F43" s="54">
        <f t="shared" si="0"/>
        <v>238.70110080418164</v>
      </c>
      <c r="G43" s="54"/>
    </row>
    <row r="44" spans="1:7" s="55" customFormat="1" ht="12.75">
      <c r="A44" s="130" t="s">
        <v>344</v>
      </c>
      <c r="B44" s="131"/>
      <c r="C44" s="54">
        <v>2038.78</v>
      </c>
      <c r="D44" s="54"/>
      <c r="E44" s="54">
        <v>9156.34</v>
      </c>
      <c r="F44" s="54">
        <f t="shared" si="0"/>
        <v>449.1087807414238</v>
      </c>
      <c r="G44" s="54"/>
    </row>
    <row r="45" spans="1:7" s="55" customFormat="1" ht="12.75">
      <c r="A45" s="130" t="s">
        <v>345</v>
      </c>
      <c r="B45" s="131"/>
      <c r="C45" s="54">
        <v>1281.12</v>
      </c>
      <c r="D45" s="54"/>
      <c r="E45" s="54">
        <v>2657.26</v>
      </c>
      <c r="F45" s="54">
        <f t="shared" si="0"/>
        <v>207.41694767078812</v>
      </c>
      <c r="G45" s="54"/>
    </row>
    <row r="46" spans="1:7" ht="12.75">
      <c r="A46" s="3" t="s">
        <v>48</v>
      </c>
      <c r="B46" s="3"/>
      <c r="C46" s="3">
        <f>C47+C50+C53</f>
        <v>195801.38</v>
      </c>
      <c r="D46" s="3">
        <v>779335.06</v>
      </c>
      <c r="E46" s="3">
        <f>E47+E50+E53</f>
        <v>138974.15</v>
      </c>
      <c r="F46" s="3">
        <f t="shared" si="0"/>
        <v>70.97710445145994</v>
      </c>
      <c r="G46" s="3">
        <f>E46/D46*100</f>
        <v>17.832400610848946</v>
      </c>
    </row>
    <row r="47" spans="1:7" ht="12.75">
      <c r="A47" s="133" t="s">
        <v>329</v>
      </c>
      <c r="B47" s="116"/>
      <c r="C47" s="3">
        <f>C48+C49</f>
        <v>3273.0899999999997</v>
      </c>
      <c r="D47" s="3"/>
      <c r="E47" s="3">
        <f>E48+E49</f>
        <v>8757.62</v>
      </c>
      <c r="F47" s="3">
        <f t="shared" si="0"/>
        <v>267.56428940236907</v>
      </c>
      <c r="G47" s="3"/>
    </row>
    <row r="48" spans="1:7" s="55" customFormat="1" ht="12.75">
      <c r="A48" s="130" t="s">
        <v>330</v>
      </c>
      <c r="B48" s="131"/>
      <c r="C48" s="54">
        <v>5.7</v>
      </c>
      <c r="D48" s="54"/>
      <c r="E48" s="54">
        <v>0</v>
      </c>
      <c r="F48" s="54">
        <f t="shared" si="0"/>
        <v>0</v>
      </c>
      <c r="G48" s="54"/>
    </row>
    <row r="49" spans="1:7" s="55" customFormat="1" ht="12.75">
      <c r="A49" s="130" t="s">
        <v>331</v>
      </c>
      <c r="B49" s="131"/>
      <c r="C49" s="54">
        <v>3267.39</v>
      </c>
      <c r="D49" s="54"/>
      <c r="E49" s="54">
        <v>8757.62</v>
      </c>
      <c r="F49" s="54">
        <f t="shared" si="0"/>
        <v>268.031058428899</v>
      </c>
      <c r="G49" s="54"/>
    </row>
    <row r="50" spans="1:7" ht="12.75">
      <c r="A50" s="133" t="s">
        <v>332</v>
      </c>
      <c r="B50" s="116"/>
      <c r="C50" s="3">
        <f>C51+C52</f>
        <v>22618.24</v>
      </c>
      <c r="D50" s="3"/>
      <c r="E50" s="3">
        <f>E51+E52</f>
        <v>27978.38</v>
      </c>
      <c r="F50" s="3">
        <f t="shared" si="0"/>
        <v>123.6983072069268</v>
      </c>
      <c r="G50" s="3"/>
    </row>
    <row r="51" spans="1:7" s="55" customFormat="1" ht="12.75">
      <c r="A51" s="130" t="s">
        <v>333</v>
      </c>
      <c r="B51" s="131"/>
      <c r="C51" s="54">
        <v>2157.16</v>
      </c>
      <c r="D51" s="54"/>
      <c r="E51" s="54">
        <v>1965.22</v>
      </c>
      <c r="F51" s="54">
        <f t="shared" si="0"/>
        <v>91.10218991637153</v>
      </c>
      <c r="G51" s="54"/>
    </row>
    <row r="52" spans="1:7" s="55" customFormat="1" ht="12.75">
      <c r="A52" s="130" t="s">
        <v>334</v>
      </c>
      <c r="B52" s="131"/>
      <c r="C52" s="54">
        <v>20461.08</v>
      </c>
      <c r="D52" s="54"/>
      <c r="E52" s="54">
        <v>26013.16</v>
      </c>
      <c r="F52" s="54">
        <f t="shared" si="0"/>
        <v>127.13483354739827</v>
      </c>
      <c r="G52" s="54"/>
    </row>
    <row r="53" spans="1:7" ht="12.75">
      <c r="A53" s="133" t="s">
        <v>335</v>
      </c>
      <c r="B53" s="116"/>
      <c r="C53" s="3">
        <f>C54+C55</f>
        <v>169910.05</v>
      </c>
      <c r="D53" s="3"/>
      <c r="E53" s="3">
        <f>E54+E55</f>
        <v>102238.15</v>
      </c>
      <c r="F53" s="3">
        <f t="shared" si="0"/>
        <v>60.171926263337575</v>
      </c>
      <c r="G53" s="3"/>
    </row>
    <row r="54" spans="1:7" s="55" customFormat="1" ht="12.75">
      <c r="A54" s="130" t="s">
        <v>336</v>
      </c>
      <c r="B54" s="131"/>
      <c r="C54" s="54">
        <v>75258.21</v>
      </c>
      <c r="D54" s="54"/>
      <c r="E54" s="54">
        <v>9116.81</v>
      </c>
      <c r="F54" s="54">
        <f t="shared" si="0"/>
        <v>12.114040448211561</v>
      </c>
      <c r="G54" s="54"/>
    </row>
    <row r="55" spans="1:7" s="55" customFormat="1" ht="12.75">
      <c r="A55" s="130" t="s">
        <v>337</v>
      </c>
      <c r="B55" s="131"/>
      <c r="C55" s="54">
        <v>94651.84</v>
      </c>
      <c r="D55" s="54"/>
      <c r="E55" s="54">
        <v>93121.34</v>
      </c>
      <c r="F55" s="54">
        <f t="shared" si="0"/>
        <v>98.38302139715404</v>
      </c>
      <c r="G55" s="54"/>
    </row>
    <row r="56" spans="1:7" ht="12.75">
      <c r="A56" s="3" t="s">
        <v>50</v>
      </c>
      <c r="B56" s="3"/>
      <c r="C56" s="3">
        <f>C59</f>
        <v>99.54</v>
      </c>
      <c r="D56" s="3">
        <v>7963.37</v>
      </c>
      <c r="E56" s="3">
        <f>E57</f>
        <v>8988.15</v>
      </c>
      <c r="F56" s="3">
        <f t="shared" si="0"/>
        <v>9029.68655816757</v>
      </c>
      <c r="G56" s="3">
        <f>E56/D56*100</f>
        <v>112.86867243390675</v>
      </c>
    </row>
    <row r="57" spans="1:7" ht="12.75">
      <c r="A57" s="133" t="s">
        <v>325</v>
      </c>
      <c r="B57" s="116"/>
      <c r="C57" s="3">
        <v>0</v>
      </c>
      <c r="D57" s="3"/>
      <c r="E57" s="3">
        <f>E58</f>
        <v>8988.15</v>
      </c>
      <c r="F57" s="3"/>
      <c r="G57" s="3"/>
    </row>
    <row r="58" spans="1:7" s="55" customFormat="1" ht="12.75">
      <c r="A58" s="130" t="s">
        <v>326</v>
      </c>
      <c r="B58" s="131"/>
      <c r="C58" s="54">
        <v>0</v>
      </c>
      <c r="D58" s="54"/>
      <c r="E58" s="54">
        <v>8988.15</v>
      </c>
      <c r="F58" s="3"/>
      <c r="G58" s="54"/>
    </row>
    <row r="59" spans="1:7" ht="12.75">
      <c r="A59" s="133" t="s">
        <v>327</v>
      </c>
      <c r="B59" s="116"/>
      <c r="C59" s="3">
        <f>C60</f>
        <v>99.54</v>
      </c>
      <c r="D59" s="3"/>
      <c r="E59" s="3">
        <v>0</v>
      </c>
      <c r="F59" s="3">
        <f t="shared" si="0"/>
        <v>0</v>
      </c>
      <c r="G59" s="3"/>
    </row>
    <row r="60" spans="1:7" s="55" customFormat="1" ht="12.75">
      <c r="A60" s="130" t="s">
        <v>328</v>
      </c>
      <c r="B60" s="131"/>
      <c r="C60" s="54">
        <v>99.54</v>
      </c>
      <c r="D60" s="54"/>
      <c r="E60" s="54">
        <v>0</v>
      </c>
      <c r="F60" s="54">
        <f t="shared" si="0"/>
        <v>0</v>
      </c>
      <c r="G60" s="54"/>
    </row>
    <row r="61" spans="1:7" ht="12.75">
      <c r="A61" s="3" t="s">
        <v>52</v>
      </c>
      <c r="B61" s="3"/>
      <c r="C61" s="3">
        <f>C62</f>
        <v>5874.31</v>
      </c>
      <c r="D61" s="3">
        <v>1327.23</v>
      </c>
      <c r="E61" s="3">
        <v>0</v>
      </c>
      <c r="F61" s="3">
        <f t="shared" si="0"/>
        <v>0</v>
      </c>
      <c r="G61" s="3">
        <f>E61/D61*100</f>
        <v>0</v>
      </c>
    </row>
    <row r="62" spans="1:7" ht="12.75">
      <c r="A62" s="133" t="s">
        <v>324</v>
      </c>
      <c r="B62" s="116"/>
      <c r="C62" s="3">
        <f>C63</f>
        <v>5874.31</v>
      </c>
      <c r="D62" s="3"/>
      <c r="E62" s="3">
        <v>0</v>
      </c>
      <c r="F62" s="3">
        <f t="shared" si="0"/>
        <v>0</v>
      </c>
      <c r="G62" s="3"/>
    </row>
    <row r="63" spans="1:7" s="55" customFormat="1" ht="12.75">
      <c r="A63" s="130" t="s">
        <v>323</v>
      </c>
      <c r="B63" s="131"/>
      <c r="C63" s="54">
        <v>5874.31</v>
      </c>
      <c r="D63" s="54"/>
      <c r="E63" s="54">
        <v>0</v>
      </c>
      <c r="F63" s="54">
        <f t="shared" si="0"/>
        <v>0</v>
      </c>
      <c r="G63" s="54"/>
    </row>
    <row r="64" spans="1:7" ht="12.75">
      <c r="A64" s="18"/>
      <c r="B64" s="18"/>
      <c r="C64" s="19"/>
      <c r="D64" s="19"/>
      <c r="E64" s="19"/>
      <c r="F64" s="19"/>
      <c r="G64" s="19"/>
    </row>
    <row r="65" spans="1:7" ht="12.75">
      <c r="A65" s="21" t="s">
        <v>53</v>
      </c>
      <c r="B65" s="21"/>
      <c r="C65" s="21">
        <f>C66</f>
        <v>194340.83</v>
      </c>
      <c r="D65" s="21">
        <v>76979.23</v>
      </c>
      <c r="E65" s="21">
        <f>E66</f>
        <v>66808</v>
      </c>
      <c r="F65" s="21">
        <f>E65/C65*100</f>
        <v>34.37671846929953</v>
      </c>
      <c r="G65" s="21">
        <f>E65/D65*100</f>
        <v>86.7870463240539</v>
      </c>
    </row>
    <row r="66" spans="1:7" ht="12.75">
      <c r="A66" s="3" t="s">
        <v>54</v>
      </c>
      <c r="B66" s="3"/>
      <c r="C66" s="3">
        <f>C67</f>
        <v>194340.83</v>
      </c>
      <c r="D66" s="3">
        <v>76979.23</v>
      </c>
      <c r="E66" s="3">
        <f>E67</f>
        <v>66808</v>
      </c>
      <c r="F66" s="3">
        <f>E66/C66*100</f>
        <v>34.37671846929953</v>
      </c>
      <c r="G66" s="3">
        <f>E66/D66*100</f>
        <v>86.7870463240539</v>
      </c>
    </row>
    <row r="67" spans="1:7" ht="12.75">
      <c r="A67" s="133" t="s">
        <v>321</v>
      </c>
      <c r="B67" s="116"/>
      <c r="C67" s="3">
        <f>C68</f>
        <v>194340.83</v>
      </c>
      <c r="D67" s="3"/>
      <c r="E67" s="3">
        <f>E68</f>
        <v>66808</v>
      </c>
      <c r="F67" s="3">
        <f>E67/C67*100</f>
        <v>34.37671846929953</v>
      </c>
      <c r="G67" s="3"/>
    </row>
    <row r="68" spans="1:7" s="55" customFormat="1" ht="12.75">
      <c r="A68" s="130" t="s">
        <v>322</v>
      </c>
      <c r="B68" s="131"/>
      <c r="C68" s="54">
        <v>194340.83</v>
      </c>
      <c r="D68" s="54"/>
      <c r="E68" s="54">
        <v>66808</v>
      </c>
      <c r="F68" s="54">
        <f>E68/C68*100</f>
        <v>34.37671846929953</v>
      </c>
      <c r="G68" s="54"/>
    </row>
    <row r="69" spans="1:7" s="22" customFormat="1" ht="12.75">
      <c r="A69" s="18"/>
      <c r="B69" s="18"/>
      <c r="C69" s="19"/>
      <c r="D69" s="19"/>
      <c r="E69" s="19"/>
      <c r="F69" s="19"/>
      <c r="G69" s="19"/>
    </row>
    <row r="70" spans="1:7" ht="12.75">
      <c r="A70" s="132" t="s">
        <v>56</v>
      </c>
      <c r="B70" s="132"/>
      <c r="C70" s="23">
        <f>C9+C65</f>
        <v>1330097.2000000002</v>
      </c>
      <c r="D70" s="23">
        <f>D9+D65</f>
        <v>3611283.56</v>
      </c>
      <c r="E70" s="23">
        <f>E65+E9</f>
        <v>1310434.9799999997</v>
      </c>
      <c r="F70" s="23">
        <f>E70/C70*100</f>
        <v>98.52174562881567</v>
      </c>
      <c r="G70" s="23">
        <f>E70/D70*100</f>
        <v>36.287235777187206</v>
      </c>
    </row>
    <row r="71" spans="1:7" ht="12.75">
      <c r="A71" s="2"/>
      <c r="B71" s="2"/>
      <c r="C71" s="2"/>
      <c r="D71" s="2"/>
      <c r="E71" s="2"/>
      <c r="F71" s="2"/>
      <c r="G71" s="2"/>
    </row>
    <row r="72" spans="1:7" s="20" customFormat="1" ht="12.75">
      <c r="A72" s="15" t="s">
        <v>36</v>
      </c>
      <c r="B72" s="4"/>
      <c r="C72" s="4"/>
      <c r="D72" s="4"/>
      <c r="E72" s="4"/>
      <c r="F72" s="4"/>
      <c r="G72" s="4"/>
    </row>
    <row r="73" spans="1:7" ht="12.75">
      <c r="A73" s="21" t="s">
        <v>57</v>
      </c>
      <c r="B73" s="21"/>
      <c r="C73" s="21">
        <f>C74+C81+C109+C116+C119+C125+C129</f>
        <v>871854.95</v>
      </c>
      <c r="D73" s="21">
        <v>2159148.58</v>
      </c>
      <c r="E73" s="21">
        <f>E74+E81+E109+E116+E119+E125+E129</f>
        <v>1037147.03</v>
      </c>
      <c r="F73" s="21">
        <f>E73/C73*100</f>
        <v>118.95866737924699</v>
      </c>
      <c r="G73" s="21">
        <f>E73/D73*100</f>
        <v>48.03500044448076</v>
      </c>
    </row>
    <row r="74" spans="1:7" ht="12.75">
      <c r="A74" s="16" t="s">
        <v>58</v>
      </c>
      <c r="B74" s="16"/>
      <c r="C74" s="16">
        <f>C75+C77+C79</f>
        <v>164378.33000000002</v>
      </c>
      <c r="D74" s="16">
        <v>444639.32</v>
      </c>
      <c r="E74" s="16">
        <f>E75+E77+E79</f>
        <v>193653.91999999998</v>
      </c>
      <c r="F74" s="16">
        <f>E74/C74*100</f>
        <v>117.8098840644019</v>
      </c>
      <c r="G74" s="16">
        <f>E74/D74*100</f>
        <v>43.55303530061174</v>
      </c>
    </row>
    <row r="75" spans="1:7" ht="12.75">
      <c r="A75" s="133" t="s">
        <v>407</v>
      </c>
      <c r="B75" s="116"/>
      <c r="C75" s="16">
        <f>C76</f>
        <v>141093.09</v>
      </c>
      <c r="D75" s="16"/>
      <c r="E75" s="16">
        <f>E76</f>
        <v>161939.19</v>
      </c>
      <c r="F75" s="16">
        <f aca="true" t="shared" si="1" ref="F75:F80">E75/C75*100</f>
        <v>114.77471363055413</v>
      </c>
      <c r="G75" s="16"/>
    </row>
    <row r="76" spans="1:7" s="55" customFormat="1" ht="12.75">
      <c r="A76" s="130" t="s">
        <v>408</v>
      </c>
      <c r="B76" s="131"/>
      <c r="C76" s="54">
        <v>141093.09</v>
      </c>
      <c r="D76" s="54"/>
      <c r="E76" s="54">
        <v>161939.19</v>
      </c>
      <c r="F76" s="54">
        <f t="shared" si="1"/>
        <v>114.77471363055413</v>
      </c>
      <c r="G76" s="54"/>
    </row>
    <row r="77" spans="1:7" ht="12.75">
      <c r="A77" s="133" t="s">
        <v>409</v>
      </c>
      <c r="B77" s="116"/>
      <c r="C77" s="16">
        <f>C78</f>
        <v>798.63</v>
      </c>
      <c r="D77" s="16"/>
      <c r="E77" s="16">
        <f>E78</f>
        <v>6226.65</v>
      </c>
      <c r="F77" s="16">
        <f t="shared" si="1"/>
        <v>779.6664287592502</v>
      </c>
      <c r="G77" s="16"/>
    </row>
    <row r="78" spans="1:7" ht="12.75">
      <c r="A78" s="130" t="s">
        <v>410</v>
      </c>
      <c r="B78" s="131"/>
      <c r="C78" s="54">
        <v>798.63</v>
      </c>
      <c r="D78" s="16"/>
      <c r="E78" s="54">
        <v>6226.65</v>
      </c>
      <c r="F78" s="54">
        <f t="shared" si="1"/>
        <v>779.6664287592502</v>
      </c>
      <c r="G78" s="16"/>
    </row>
    <row r="79" spans="1:7" ht="12.75">
      <c r="A79" s="133" t="s">
        <v>411</v>
      </c>
      <c r="B79" s="116"/>
      <c r="C79" s="16">
        <f>C80</f>
        <v>22486.61</v>
      </c>
      <c r="D79" s="16"/>
      <c r="E79" s="16">
        <f>E80</f>
        <v>25488.08</v>
      </c>
      <c r="F79" s="16">
        <f t="shared" si="1"/>
        <v>113.34781009676426</v>
      </c>
      <c r="G79" s="16"/>
    </row>
    <row r="80" spans="1:7" ht="12.75">
      <c r="A80" s="130" t="s">
        <v>412</v>
      </c>
      <c r="B80" s="131"/>
      <c r="C80" s="54">
        <v>22486.61</v>
      </c>
      <c r="D80" s="16"/>
      <c r="E80" s="54">
        <v>25488.08</v>
      </c>
      <c r="F80" s="54">
        <f t="shared" si="1"/>
        <v>113.34781009676426</v>
      </c>
      <c r="G80" s="16"/>
    </row>
    <row r="81" spans="1:7" ht="12.75">
      <c r="A81" s="16" t="s">
        <v>59</v>
      </c>
      <c r="B81" s="16"/>
      <c r="C81" s="16">
        <f>C82+C86+C92+C102</f>
        <v>434204.88</v>
      </c>
      <c r="D81" s="16">
        <v>958971.39</v>
      </c>
      <c r="E81" s="16">
        <f>E82+E86+E92+E102</f>
        <v>532368.58</v>
      </c>
      <c r="F81" s="16">
        <f>E81/C81*100</f>
        <v>122.60769155795761</v>
      </c>
      <c r="G81" s="16">
        <f>E81/D81*100</f>
        <v>55.514542514141105</v>
      </c>
    </row>
    <row r="82" spans="1:7" ht="12.75">
      <c r="A82" s="133" t="s">
        <v>413</v>
      </c>
      <c r="B82" s="116"/>
      <c r="C82" s="16">
        <f>C83+C84+C85</f>
        <v>3609.7700000000004</v>
      </c>
      <c r="D82" s="16"/>
      <c r="E82" s="16">
        <f>E83+E84+E85</f>
        <v>5999.16</v>
      </c>
      <c r="F82" s="16">
        <f aca="true" t="shared" si="2" ref="F82:F108">E82/C82*100</f>
        <v>166.1923058809841</v>
      </c>
      <c r="G82" s="16"/>
    </row>
    <row r="83" spans="1:7" s="55" customFormat="1" ht="12.75">
      <c r="A83" s="130" t="s">
        <v>414</v>
      </c>
      <c r="B83" s="131"/>
      <c r="C83" s="54">
        <v>1447.98</v>
      </c>
      <c r="D83" s="54"/>
      <c r="E83" s="54">
        <v>1606.29</v>
      </c>
      <c r="F83" s="54">
        <f t="shared" si="2"/>
        <v>110.93316206024946</v>
      </c>
      <c r="G83" s="54"/>
    </row>
    <row r="84" spans="1:7" s="55" customFormat="1" ht="12.75">
      <c r="A84" s="130" t="s">
        <v>415</v>
      </c>
      <c r="B84" s="131"/>
      <c r="C84" s="54">
        <v>538.59</v>
      </c>
      <c r="D84" s="54"/>
      <c r="E84" s="54">
        <v>570.37</v>
      </c>
      <c r="F84" s="54">
        <f t="shared" si="2"/>
        <v>105.90059228726861</v>
      </c>
      <c r="G84" s="54"/>
    </row>
    <row r="85" spans="1:7" s="55" customFormat="1" ht="12.75">
      <c r="A85" s="130" t="s">
        <v>416</v>
      </c>
      <c r="B85" s="131"/>
      <c r="C85" s="54">
        <v>1623.2</v>
      </c>
      <c r="D85" s="54"/>
      <c r="E85" s="54">
        <v>3822.5</v>
      </c>
      <c r="F85" s="54">
        <f t="shared" si="2"/>
        <v>235.4916214884179</v>
      </c>
      <c r="G85" s="54"/>
    </row>
    <row r="86" spans="1:7" ht="12.75">
      <c r="A86" s="133" t="s">
        <v>417</v>
      </c>
      <c r="B86" s="116"/>
      <c r="C86" s="16">
        <f>C87+C88+C89+C90+C91</f>
        <v>71608.61</v>
      </c>
      <c r="D86" s="16"/>
      <c r="E86" s="16">
        <f>E87+E88+E89+E90+E91</f>
        <v>55339.07000000001</v>
      </c>
      <c r="F86" s="16">
        <f t="shared" si="2"/>
        <v>77.27991089339676</v>
      </c>
      <c r="G86" s="16"/>
    </row>
    <row r="87" spans="1:7" s="55" customFormat="1" ht="12.75">
      <c r="A87" s="130" t="s">
        <v>418</v>
      </c>
      <c r="B87" s="131"/>
      <c r="C87" s="54">
        <v>6055.13</v>
      </c>
      <c r="D87" s="54"/>
      <c r="E87" s="54">
        <v>4664.75</v>
      </c>
      <c r="F87" s="54">
        <f t="shared" si="2"/>
        <v>77.03798266924079</v>
      </c>
      <c r="G87" s="54"/>
    </row>
    <row r="88" spans="1:7" s="55" customFormat="1" ht="12.75">
      <c r="A88" s="130" t="s">
        <v>419</v>
      </c>
      <c r="B88" s="131"/>
      <c r="C88" s="54">
        <v>9014.58</v>
      </c>
      <c r="D88" s="54"/>
      <c r="E88" s="54">
        <v>11973.81</v>
      </c>
      <c r="F88" s="54">
        <f t="shared" si="2"/>
        <v>132.82715334491456</v>
      </c>
      <c r="G88" s="54"/>
    </row>
    <row r="89" spans="1:7" s="55" customFormat="1" ht="12.75">
      <c r="A89" s="130" t="s">
        <v>420</v>
      </c>
      <c r="B89" s="131"/>
      <c r="C89" s="54">
        <v>27154.98</v>
      </c>
      <c r="D89" s="54"/>
      <c r="E89" s="54">
        <v>33415.91</v>
      </c>
      <c r="F89" s="54">
        <f t="shared" si="2"/>
        <v>123.05628654486213</v>
      </c>
      <c r="G89" s="54"/>
    </row>
    <row r="90" spans="1:7" s="55" customFormat="1" ht="12.75">
      <c r="A90" s="130" t="s">
        <v>421</v>
      </c>
      <c r="B90" s="131"/>
      <c r="C90" s="54">
        <v>247.19</v>
      </c>
      <c r="D90" s="54"/>
      <c r="E90" s="54">
        <v>128.33</v>
      </c>
      <c r="F90" s="54">
        <f t="shared" si="2"/>
        <v>51.915530563534126</v>
      </c>
      <c r="G90" s="54"/>
    </row>
    <row r="91" spans="1:7" s="55" customFormat="1" ht="12.75">
      <c r="A91" s="130" t="s">
        <v>422</v>
      </c>
      <c r="B91" s="131"/>
      <c r="C91" s="54">
        <v>29136.73</v>
      </c>
      <c r="D91" s="54"/>
      <c r="E91" s="54">
        <v>5156.27</v>
      </c>
      <c r="F91" s="54">
        <f t="shared" si="2"/>
        <v>17.696803999625217</v>
      </c>
      <c r="G91" s="54"/>
    </row>
    <row r="92" spans="1:7" ht="12.75">
      <c r="A92" s="133" t="s">
        <v>423</v>
      </c>
      <c r="B92" s="116"/>
      <c r="C92" s="16">
        <f>C93+C94+C95+C96+C97+C98+C99+C100+C101</f>
        <v>336208.79</v>
      </c>
      <c r="D92" s="16"/>
      <c r="E92" s="16">
        <f>E93+E94+E95+E96+E97+E98+E99+E100+E101</f>
        <v>450581.31999999995</v>
      </c>
      <c r="F92" s="16">
        <f t="shared" si="2"/>
        <v>134.01830451845115</v>
      </c>
      <c r="G92" s="16"/>
    </row>
    <row r="93" spans="1:7" s="55" customFormat="1" ht="12.75">
      <c r="A93" s="130" t="s">
        <v>424</v>
      </c>
      <c r="B93" s="131"/>
      <c r="C93" s="54">
        <v>6388.22</v>
      </c>
      <c r="D93" s="54"/>
      <c r="E93" s="54">
        <v>7821.26</v>
      </c>
      <c r="F93" s="54">
        <f t="shared" si="2"/>
        <v>122.43253989374192</v>
      </c>
      <c r="G93" s="54"/>
    </row>
    <row r="94" spans="1:7" s="55" customFormat="1" ht="12.75">
      <c r="A94" s="130" t="s">
        <v>425</v>
      </c>
      <c r="B94" s="131"/>
      <c r="C94" s="54">
        <v>23673.22</v>
      </c>
      <c r="D94" s="54"/>
      <c r="E94" s="54">
        <v>59977.8</v>
      </c>
      <c r="F94" s="54">
        <f t="shared" si="2"/>
        <v>253.35716898672845</v>
      </c>
      <c r="G94" s="54"/>
    </row>
    <row r="95" spans="1:7" s="55" customFormat="1" ht="12.75">
      <c r="A95" s="130" t="s">
        <v>426</v>
      </c>
      <c r="B95" s="131"/>
      <c r="C95" s="54">
        <v>7357.82</v>
      </c>
      <c r="D95" s="54"/>
      <c r="E95" s="54">
        <v>9007.88</v>
      </c>
      <c r="F95" s="54">
        <f t="shared" si="2"/>
        <v>122.4259359429831</v>
      </c>
      <c r="G95" s="54"/>
    </row>
    <row r="96" spans="1:7" s="55" customFormat="1" ht="12.75">
      <c r="A96" s="130" t="s">
        <v>264</v>
      </c>
      <c r="B96" s="131"/>
      <c r="C96" s="54">
        <v>183001.55</v>
      </c>
      <c r="D96" s="54"/>
      <c r="E96" s="54">
        <v>247243.71</v>
      </c>
      <c r="F96" s="54">
        <f t="shared" si="2"/>
        <v>135.1047081295213</v>
      </c>
      <c r="G96" s="54"/>
    </row>
    <row r="97" spans="1:7" s="55" customFormat="1" ht="12.75">
      <c r="A97" s="130" t="s">
        <v>427</v>
      </c>
      <c r="B97" s="131"/>
      <c r="C97" s="54">
        <v>11396.51</v>
      </c>
      <c r="D97" s="54"/>
      <c r="E97" s="54">
        <v>20011.11</v>
      </c>
      <c r="F97" s="54">
        <f t="shared" si="2"/>
        <v>175.58980775693612</v>
      </c>
      <c r="G97" s="54"/>
    </row>
    <row r="98" spans="1:7" s="55" customFormat="1" ht="12.75">
      <c r="A98" s="130" t="s">
        <v>428</v>
      </c>
      <c r="B98" s="131"/>
      <c r="C98" s="54">
        <v>883.87</v>
      </c>
      <c r="D98" s="54"/>
      <c r="E98" s="54">
        <v>246.98</v>
      </c>
      <c r="F98" s="54">
        <f t="shared" si="2"/>
        <v>27.943023295280977</v>
      </c>
      <c r="G98" s="54"/>
    </row>
    <row r="99" spans="1:7" s="55" customFormat="1" ht="12.75">
      <c r="A99" s="130" t="s">
        <v>429</v>
      </c>
      <c r="B99" s="131"/>
      <c r="C99" s="54">
        <v>94002.86</v>
      </c>
      <c r="D99" s="54"/>
      <c r="E99" s="54">
        <v>88503.98</v>
      </c>
      <c r="F99" s="54">
        <f t="shared" si="2"/>
        <v>94.15030563963693</v>
      </c>
      <c r="G99" s="54"/>
    </row>
    <row r="100" spans="1:7" s="55" customFormat="1" ht="12.75">
      <c r="A100" s="130" t="s">
        <v>430</v>
      </c>
      <c r="B100" s="131"/>
      <c r="C100" s="54">
        <v>4438.86</v>
      </c>
      <c r="D100" s="54"/>
      <c r="E100" s="54">
        <v>10991.62</v>
      </c>
      <c r="F100" s="54">
        <f t="shared" si="2"/>
        <v>247.62258778154754</v>
      </c>
      <c r="G100" s="54"/>
    </row>
    <row r="101" spans="1:7" s="55" customFormat="1" ht="12.75">
      <c r="A101" s="130" t="s">
        <v>431</v>
      </c>
      <c r="B101" s="131"/>
      <c r="C101" s="54">
        <v>5065.88</v>
      </c>
      <c r="D101" s="54"/>
      <c r="E101" s="54">
        <v>6776.98</v>
      </c>
      <c r="F101" s="54">
        <f t="shared" si="2"/>
        <v>133.77695484298877</v>
      </c>
      <c r="G101" s="54"/>
    </row>
    <row r="102" spans="1:7" ht="12.75">
      <c r="A102" s="133" t="s">
        <v>432</v>
      </c>
      <c r="B102" s="116"/>
      <c r="C102" s="16">
        <f>C103+C104+C105+C106+C107+C108</f>
        <v>22777.71</v>
      </c>
      <c r="D102" s="16"/>
      <c r="E102" s="16">
        <f>E103+E104+E105+E106+E107+E108</f>
        <v>20449.03</v>
      </c>
      <c r="F102" s="16">
        <f t="shared" si="2"/>
        <v>89.77649640811126</v>
      </c>
      <c r="G102" s="16"/>
    </row>
    <row r="103" spans="1:7" s="55" customFormat="1" ht="12.75">
      <c r="A103" s="130" t="s">
        <v>433</v>
      </c>
      <c r="B103" s="131"/>
      <c r="C103" s="54">
        <v>807.14</v>
      </c>
      <c r="D103" s="54"/>
      <c r="E103" s="54">
        <v>1844.82</v>
      </c>
      <c r="F103" s="54">
        <f t="shared" si="2"/>
        <v>228.56257898258048</v>
      </c>
      <c r="G103" s="54"/>
    </row>
    <row r="104" spans="1:7" s="55" customFormat="1" ht="12.75">
      <c r="A104" s="130" t="s">
        <v>434</v>
      </c>
      <c r="B104" s="131"/>
      <c r="C104" s="54">
        <v>7571.03</v>
      </c>
      <c r="D104" s="54"/>
      <c r="E104" s="54">
        <v>10850.93</v>
      </c>
      <c r="F104" s="54">
        <f t="shared" si="2"/>
        <v>143.32171448270577</v>
      </c>
      <c r="G104" s="54"/>
    </row>
    <row r="105" spans="1:7" s="55" customFormat="1" ht="12.75">
      <c r="A105" s="130" t="s">
        <v>435</v>
      </c>
      <c r="B105" s="131"/>
      <c r="C105" s="54">
        <v>0</v>
      </c>
      <c r="D105" s="54"/>
      <c r="E105" s="54">
        <v>780</v>
      </c>
      <c r="F105" s="54"/>
      <c r="G105" s="54"/>
    </row>
    <row r="106" spans="1:7" s="55" customFormat="1" ht="12.75">
      <c r="A106" s="130" t="s">
        <v>436</v>
      </c>
      <c r="B106" s="131"/>
      <c r="C106" s="54">
        <v>12843.92</v>
      </c>
      <c r="D106" s="54"/>
      <c r="E106" s="54">
        <v>3968.07</v>
      </c>
      <c r="F106" s="54">
        <f t="shared" si="2"/>
        <v>30.89453998467758</v>
      </c>
      <c r="G106" s="54"/>
    </row>
    <row r="107" spans="1:7" s="55" customFormat="1" ht="12.75">
      <c r="A107" s="130" t="s">
        <v>437</v>
      </c>
      <c r="B107" s="131"/>
      <c r="C107" s="54">
        <v>471.94</v>
      </c>
      <c r="D107" s="54"/>
      <c r="E107" s="54">
        <v>909.16</v>
      </c>
      <c r="F107" s="54">
        <f t="shared" si="2"/>
        <v>192.64313260160188</v>
      </c>
      <c r="G107" s="54"/>
    </row>
    <row r="108" spans="1:7" s="55" customFormat="1" ht="12.75">
      <c r="A108" s="130" t="s">
        <v>438</v>
      </c>
      <c r="B108" s="131"/>
      <c r="C108" s="54">
        <v>1083.68</v>
      </c>
      <c r="D108" s="54"/>
      <c r="E108" s="54">
        <v>2096.05</v>
      </c>
      <c r="F108" s="54">
        <f t="shared" si="2"/>
        <v>193.41964417540234</v>
      </c>
      <c r="G108" s="54"/>
    </row>
    <row r="109" spans="1:7" ht="12.75">
      <c r="A109" s="16" t="s">
        <v>60</v>
      </c>
      <c r="B109" s="16"/>
      <c r="C109" s="16">
        <f>C110+C112</f>
        <v>11980.93</v>
      </c>
      <c r="D109" s="16">
        <v>21049.84</v>
      </c>
      <c r="E109" s="16">
        <f>E110+E112</f>
        <v>9585.01</v>
      </c>
      <c r="F109" s="16">
        <f aca="true" t="shared" si="3" ref="F109:F114">E109/C109*100</f>
        <v>80.00222019492644</v>
      </c>
      <c r="G109" s="16">
        <f>E109/D109*100</f>
        <v>45.53483541917658</v>
      </c>
    </row>
    <row r="110" spans="1:7" ht="12.75">
      <c r="A110" s="133" t="s">
        <v>401</v>
      </c>
      <c r="B110" s="116"/>
      <c r="C110" s="16">
        <f>C111</f>
        <v>9692.86</v>
      </c>
      <c r="D110" s="16"/>
      <c r="E110" s="16">
        <f>E111</f>
        <v>7419.8</v>
      </c>
      <c r="F110" s="16">
        <f t="shared" si="3"/>
        <v>76.54912997814887</v>
      </c>
      <c r="G110" s="16"/>
    </row>
    <row r="111" spans="1:7" s="55" customFormat="1" ht="12.75">
      <c r="A111" s="130" t="s">
        <v>402</v>
      </c>
      <c r="B111" s="131"/>
      <c r="C111" s="54">
        <v>9692.86</v>
      </c>
      <c r="D111" s="54"/>
      <c r="E111" s="54">
        <v>7419.8</v>
      </c>
      <c r="F111" s="54">
        <f t="shared" si="3"/>
        <v>76.54912997814887</v>
      </c>
      <c r="G111" s="54"/>
    </row>
    <row r="112" spans="1:7" ht="12.75">
      <c r="A112" s="133" t="s">
        <v>403</v>
      </c>
      <c r="B112" s="116"/>
      <c r="C112" s="16">
        <f>C113+C114+C115</f>
        <v>2288.0699999999997</v>
      </c>
      <c r="D112" s="16"/>
      <c r="E112" s="16">
        <f>E113+E114+E115</f>
        <v>2165.21</v>
      </c>
      <c r="F112" s="16">
        <f t="shared" si="3"/>
        <v>94.63040903468864</v>
      </c>
      <c r="G112" s="16"/>
    </row>
    <row r="113" spans="1:7" s="55" customFormat="1" ht="12.75">
      <c r="A113" s="130" t="s">
        <v>404</v>
      </c>
      <c r="B113" s="131"/>
      <c r="C113" s="54">
        <v>1758.34</v>
      </c>
      <c r="D113" s="54"/>
      <c r="E113" s="54">
        <v>2160.64</v>
      </c>
      <c r="F113" s="54">
        <f t="shared" si="3"/>
        <v>122.87953410603183</v>
      </c>
      <c r="G113" s="54"/>
    </row>
    <row r="114" spans="1:7" s="55" customFormat="1" ht="12.75">
      <c r="A114" s="130" t="s">
        <v>405</v>
      </c>
      <c r="B114" s="131"/>
      <c r="C114" s="54">
        <v>529.73</v>
      </c>
      <c r="D114" s="54"/>
      <c r="E114" s="54">
        <v>0</v>
      </c>
      <c r="F114" s="54">
        <f t="shared" si="3"/>
        <v>0</v>
      </c>
      <c r="G114" s="54"/>
    </row>
    <row r="115" spans="1:7" s="55" customFormat="1" ht="12.75">
      <c r="A115" s="130" t="s">
        <v>406</v>
      </c>
      <c r="B115" s="131"/>
      <c r="C115" s="54">
        <v>0</v>
      </c>
      <c r="D115" s="54"/>
      <c r="E115" s="54">
        <v>4.57</v>
      </c>
      <c r="F115" s="16"/>
      <c r="G115" s="54"/>
    </row>
    <row r="116" spans="1:7" ht="12.75">
      <c r="A116" s="16" t="s">
        <v>61</v>
      </c>
      <c r="B116" s="16"/>
      <c r="C116" s="16">
        <f>C117</f>
        <v>2350.41</v>
      </c>
      <c r="D116" s="16">
        <v>19908.42</v>
      </c>
      <c r="E116" s="16">
        <f>E117</f>
        <v>2303.91</v>
      </c>
      <c r="F116" s="16">
        <f aca="true" t="shared" si="4" ref="F116:F133">E116/C116*100</f>
        <v>98.0216217596079</v>
      </c>
      <c r="G116" s="16">
        <f>E116/D116*100</f>
        <v>11.572540663699078</v>
      </c>
    </row>
    <row r="117" spans="1:7" ht="12.75">
      <c r="A117" s="133" t="s">
        <v>399</v>
      </c>
      <c r="B117" s="116"/>
      <c r="C117" s="16">
        <f>C118</f>
        <v>2350.41</v>
      </c>
      <c r="D117" s="16"/>
      <c r="E117" s="16">
        <f>E118</f>
        <v>2303.91</v>
      </c>
      <c r="F117" s="16">
        <f t="shared" si="4"/>
        <v>98.0216217596079</v>
      </c>
      <c r="G117" s="16"/>
    </row>
    <row r="118" spans="1:7" s="55" customFormat="1" ht="12.75">
      <c r="A118" s="130" t="s">
        <v>400</v>
      </c>
      <c r="B118" s="131"/>
      <c r="C118" s="54">
        <v>2350.41</v>
      </c>
      <c r="D118" s="54"/>
      <c r="E118" s="54">
        <v>2303.91</v>
      </c>
      <c r="F118" s="54">
        <f t="shared" si="4"/>
        <v>98.0216217596079</v>
      </c>
      <c r="G118" s="54"/>
    </row>
    <row r="119" spans="1:7" ht="12.75">
      <c r="A119" s="16" t="s">
        <v>62</v>
      </c>
      <c r="B119" s="16"/>
      <c r="C119" s="16">
        <f>C120+C122</f>
        <v>57721.770000000004</v>
      </c>
      <c r="D119" s="16">
        <v>207445.75</v>
      </c>
      <c r="E119" s="16">
        <f>E120+E122</f>
        <v>60462.44</v>
      </c>
      <c r="F119" s="16">
        <f t="shared" si="4"/>
        <v>104.74806992231873</v>
      </c>
      <c r="G119" s="16">
        <f>E119/D119*100</f>
        <v>29.146145438024156</v>
      </c>
    </row>
    <row r="120" spans="1:7" ht="12.75">
      <c r="A120" s="133" t="s">
        <v>394</v>
      </c>
      <c r="B120" s="116"/>
      <c r="C120" s="16">
        <f>C121</f>
        <v>40827.47</v>
      </c>
      <c r="D120" s="16"/>
      <c r="E120" s="16">
        <f>E121</f>
        <v>40610.45</v>
      </c>
      <c r="F120" s="16">
        <f t="shared" si="4"/>
        <v>99.46844612218194</v>
      </c>
      <c r="G120" s="16"/>
    </row>
    <row r="121" spans="1:7" s="55" customFormat="1" ht="12.75">
      <c r="A121" s="130" t="s">
        <v>395</v>
      </c>
      <c r="B121" s="131"/>
      <c r="C121" s="54">
        <v>40827.47</v>
      </c>
      <c r="D121" s="54"/>
      <c r="E121" s="54">
        <v>40610.45</v>
      </c>
      <c r="F121" s="54">
        <f t="shared" si="4"/>
        <v>99.46844612218194</v>
      </c>
      <c r="G121" s="54"/>
    </row>
    <row r="122" spans="1:7" ht="12.75">
      <c r="A122" s="133" t="s">
        <v>396</v>
      </c>
      <c r="B122" s="116"/>
      <c r="C122" s="16">
        <f>C123+C124</f>
        <v>16894.3</v>
      </c>
      <c r="D122" s="16"/>
      <c r="E122" s="16">
        <f>E123+E124</f>
        <v>19851.99</v>
      </c>
      <c r="F122" s="16">
        <f t="shared" si="4"/>
        <v>117.50702899794607</v>
      </c>
      <c r="G122" s="16"/>
    </row>
    <row r="123" spans="1:7" s="55" customFormat="1" ht="12.75">
      <c r="A123" s="130" t="s">
        <v>397</v>
      </c>
      <c r="B123" s="131"/>
      <c r="C123" s="54">
        <v>15567.07</v>
      </c>
      <c r="D123" s="54"/>
      <c r="E123" s="54">
        <v>19851.99</v>
      </c>
      <c r="F123" s="54">
        <f t="shared" si="4"/>
        <v>127.52553948816316</v>
      </c>
      <c r="G123" s="54"/>
    </row>
    <row r="124" spans="1:7" s="55" customFormat="1" ht="12.75">
      <c r="A124" s="130" t="s">
        <v>398</v>
      </c>
      <c r="B124" s="131"/>
      <c r="C124" s="54">
        <v>1327.23</v>
      </c>
      <c r="D124" s="54"/>
      <c r="E124" s="54">
        <v>0</v>
      </c>
      <c r="F124" s="54">
        <f t="shared" si="4"/>
        <v>0</v>
      </c>
      <c r="G124" s="54"/>
    </row>
    <row r="125" spans="1:7" ht="12.75">
      <c r="A125" s="16" t="s">
        <v>63</v>
      </c>
      <c r="B125" s="16"/>
      <c r="C125" s="16">
        <f>C126</f>
        <v>68710.59</v>
      </c>
      <c r="D125" s="16">
        <v>130333.8</v>
      </c>
      <c r="E125" s="16">
        <f>E126</f>
        <v>63529.74</v>
      </c>
      <c r="F125" s="16">
        <f t="shared" si="4"/>
        <v>92.45989591997392</v>
      </c>
      <c r="G125" s="16">
        <f>E125/D125*100</f>
        <v>48.74387150531941</v>
      </c>
    </row>
    <row r="126" spans="1:7" ht="12.75">
      <c r="A126" s="133" t="s">
        <v>392</v>
      </c>
      <c r="B126" s="116"/>
      <c r="C126" s="16">
        <f>C127+C128</f>
        <v>68710.59</v>
      </c>
      <c r="D126" s="16"/>
      <c r="E126" s="16">
        <f>E127+E128</f>
        <v>63529.74</v>
      </c>
      <c r="F126" s="16">
        <f t="shared" si="4"/>
        <v>92.45989591997392</v>
      </c>
      <c r="G126" s="16"/>
    </row>
    <row r="127" spans="1:7" s="55" customFormat="1" ht="12.75">
      <c r="A127" s="130" t="s">
        <v>393</v>
      </c>
      <c r="B127" s="131"/>
      <c r="C127" s="54">
        <v>63640.58</v>
      </c>
      <c r="D127" s="54"/>
      <c r="E127" s="54">
        <v>57361.78</v>
      </c>
      <c r="F127" s="54">
        <f t="shared" si="4"/>
        <v>90.1339679808072</v>
      </c>
      <c r="G127" s="54"/>
    </row>
    <row r="128" spans="1:7" s="55" customFormat="1" ht="12.75">
      <c r="A128" s="130" t="s">
        <v>244</v>
      </c>
      <c r="B128" s="131"/>
      <c r="C128" s="54">
        <v>5070.01</v>
      </c>
      <c r="D128" s="54"/>
      <c r="E128" s="54">
        <v>6167.96</v>
      </c>
      <c r="F128" s="54">
        <f t="shared" si="4"/>
        <v>121.65577582687213</v>
      </c>
      <c r="G128" s="54"/>
    </row>
    <row r="129" spans="1:7" ht="12.75">
      <c r="A129" s="16" t="s">
        <v>64</v>
      </c>
      <c r="B129" s="16"/>
      <c r="C129" s="16">
        <f>C130+C132</f>
        <v>132508.03999999998</v>
      </c>
      <c r="D129" s="16">
        <v>376800.05</v>
      </c>
      <c r="E129" s="16">
        <f>E130+E132</f>
        <v>175243.43</v>
      </c>
      <c r="F129" s="16">
        <f t="shared" si="4"/>
        <v>132.25116755179536</v>
      </c>
      <c r="G129" s="16">
        <f>E129/D129*100</f>
        <v>46.50833512362856</v>
      </c>
    </row>
    <row r="130" spans="1:7" ht="12.75">
      <c r="A130" s="133" t="s">
        <v>388</v>
      </c>
      <c r="B130" s="116"/>
      <c r="C130" s="16">
        <f>C131</f>
        <v>103490.37</v>
      </c>
      <c r="D130" s="16"/>
      <c r="E130" s="16">
        <f>E131</f>
        <v>128993.43</v>
      </c>
      <c r="F130" s="16">
        <f t="shared" si="4"/>
        <v>124.64293054513188</v>
      </c>
      <c r="G130" s="16"/>
    </row>
    <row r="131" spans="1:7" s="55" customFormat="1" ht="12.75">
      <c r="A131" s="130" t="s">
        <v>389</v>
      </c>
      <c r="B131" s="131"/>
      <c r="C131" s="54">
        <v>103490.37</v>
      </c>
      <c r="D131" s="54"/>
      <c r="E131" s="54">
        <v>128993.43</v>
      </c>
      <c r="F131" s="54">
        <f t="shared" si="4"/>
        <v>124.64293054513188</v>
      </c>
      <c r="G131" s="54"/>
    </row>
    <row r="132" spans="1:7" ht="12.75">
      <c r="A132" s="133" t="s">
        <v>390</v>
      </c>
      <c r="B132" s="116"/>
      <c r="C132" s="16">
        <f>C133</f>
        <v>29017.67</v>
      </c>
      <c r="D132" s="16"/>
      <c r="E132" s="16">
        <f>E133</f>
        <v>46250</v>
      </c>
      <c r="F132" s="16">
        <f t="shared" si="4"/>
        <v>159.38564329941033</v>
      </c>
      <c r="G132" s="16"/>
    </row>
    <row r="133" spans="1:7" ht="12.75">
      <c r="A133" s="130" t="s">
        <v>391</v>
      </c>
      <c r="B133" s="131"/>
      <c r="C133" s="54">
        <v>29017.67</v>
      </c>
      <c r="D133" s="54"/>
      <c r="E133" s="54">
        <v>46250</v>
      </c>
      <c r="F133" s="54">
        <f t="shared" si="4"/>
        <v>159.38564329941033</v>
      </c>
      <c r="G133" s="54"/>
    </row>
    <row r="134" spans="1:7" ht="12.75">
      <c r="A134" s="27"/>
      <c r="B134" s="27"/>
      <c r="C134" s="28"/>
      <c r="D134" s="28"/>
      <c r="E134" s="28"/>
      <c r="F134" s="28"/>
      <c r="G134" s="28"/>
    </row>
    <row r="135" spans="1:7" ht="12.75">
      <c r="A135" s="21" t="s">
        <v>65</v>
      </c>
      <c r="B135" s="21"/>
      <c r="C135" s="21">
        <f>C136+C140+C153</f>
        <v>466047.79999999993</v>
      </c>
      <c r="D135" s="21">
        <v>2229743.18</v>
      </c>
      <c r="E135" s="21">
        <f>E136+E140+E153</f>
        <v>129966.91</v>
      </c>
      <c r="F135" s="21">
        <f>E135/C135*100</f>
        <v>27.887034334246408</v>
      </c>
      <c r="G135" s="21">
        <f>E135/D135*100</f>
        <v>5.828783833302273</v>
      </c>
    </row>
    <row r="136" spans="1:7" ht="12.75">
      <c r="A136" s="16" t="s">
        <v>66</v>
      </c>
      <c r="B136" s="16"/>
      <c r="C136" s="16">
        <f>C137</f>
        <v>15296.3</v>
      </c>
      <c r="D136" s="16">
        <v>86535.27</v>
      </c>
      <c r="E136" s="16">
        <f>E137</f>
        <v>11983.880000000001</v>
      </c>
      <c r="F136" s="16">
        <f>E136/C136*100</f>
        <v>78.34495923850866</v>
      </c>
      <c r="G136" s="16">
        <f>E136/D136*100</f>
        <v>13.848549845629417</v>
      </c>
    </row>
    <row r="137" spans="1:7" ht="12.75">
      <c r="A137" s="133" t="s">
        <v>385</v>
      </c>
      <c r="B137" s="116"/>
      <c r="C137" s="16">
        <f>C138+C139</f>
        <v>15296.3</v>
      </c>
      <c r="D137" s="16"/>
      <c r="E137" s="16">
        <f>E138+E139</f>
        <v>11983.880000000001</v>
      </c>
      <c r="F137" s="16">
        <f aca="true" t="shared" si="5" ref="F137:F157">E137/C137*100</f>
        <v>78.34495923850866</v>
      </c>
      <c r="G137" s="16"/>
    </row>
    <row r="138" spans="1:7" s="55" customFormat="1" ht="12.75">
      <c r="A138" s="130" t="s">
        <v>386</v>
      </c>
      <c r="B138" s="131"/>
      <c r="C138" s="54">
        <v>149.31</v>
      </c>
      <c r="D138" s="54"/>
      <c r="E138" s="54">
        <v>739.93</v>
      </c>
      <c r="F138" s="54">
        <f t="shared" si="5"/>
        <v>495.5662715156386</v>
      </c>
      <c r="G138" s="54"/>
    </row>
    <row r="139" spans="1:7" s="55" customFormat="1" ht="12.75">
      <c r="A139" s="130" t="s">
        <v>387</v>
      </c>
      <c r="B139" s="131"/>
      <c r="C139" s="54">
        <v>15146.99</v>
      </c>
      <c r="D139" s="54"/>
      <c r="E139" s="54">
        <v>11243.95</v>
      </c>
      <c r="F139" s="54">
        <f t="shared" si="5"/>
        <v>74.23224020085839</v>
      </c>
      <c r="G139" s="54"/>
    </row>
    <row r="140" spans="1:7" ht="12.75">
      <c r="A140" s="16" t="s">
        <v>67</v>
      </c>
      <c r="B140" s="16"/>
      <c r="C140" s="16">
        <f>C141+C144+C150</f>
        <v>206618.22999999998</v>
      </c>
      <c r="D140" s="16">
        <v>1725131.06</v>
      </c>
      <c r="E140" s="16">
        <f>E141+E144+E150</f>
        <v>40545.7</v>
      </c>
      <c r="F140" s="16">
        <f t="shared" si="5"/>
        <v>19.623486272242292</v>
      </c>
      <c r="G140" s="16">
        <f>E140/D140*100</f>
        <v>2.3502967942621122</v>
      </c>
    </row>
    <row r="141" spans="1:7" ht="12.75">
      <c r="A141" s="133" t="s">
        <v>373</v>
      </c>
      <c r="B141" s="116"/>
      <c r="C141" s="16">
        <f>C142+C143</f>
        <v>45292.53</v>
      </c>
      <c r="D141" s="16"/>
      <c r="E141" s="16">
        <f>E142+E143</f>
        <v>18090.57</v>
      </c>
      <c r="F141" s="16">
        <f t="shared" si="5"/>
        <v>39.941619512091734</v>
      </c>
      <c r="G141" s="16"/>
    </row>
    <row r="142" spans="1:7" s="55" customFormat="1" ht="12.75">
      <c r="A142" s="130" t="s">
        <v>374</v>
      </c>
      <c r="B142" s="131"/>
      <c r="C142" s="54">
        <v>0</v>
      </c>
      <c r="D142" s="54"/>
      <c r="E142" s="54">
        <v>14683.91</v>
      </c>
      <c r="F142" s="54"/>
      <c r="G142" s="54"/>
    </row>
    <row r="143" spans="1:7" s="55" customFormat="1" ht="12.75">
      <c r="A143" s="130" t="s">
        <v>375</v>
      </c>
      <c r="B143" s="131"/>
      <c r="C143" s="54">
        <v>45292.53</v>
      </c>
      <c r="D143" s="54"/>
      <c r="E143" s="54">
        <v>3406.66</v>
      </c>
      <c r="F143" s="54">
        <f t="shared" si="5"/>
        <v>7.521461044459207</v>
      </c>
      <c r="G143" s="54"/>
    </row>
    <row r="144" spans="1:7" ht="12.75">
      <c r="A144" s="133" t="s">
        <v>376</v>
      </c>
      <c r="B144" s="116"/>
      <c r="C144" s="16">
        <f>C145+C146+C147+C148+C149</f>
        <v>149810.34</v>
      </c>
      <c r="D144" s="16"/>
      <c r="E144" s="16">
        <f>E145+E149</f>
        <v>14205.13</v>
      </c>
      <c r="F144" s="16">
        <f t="shared" si="5"/>
        <v>9.482075803312375</v>
      </c>
      <c r="G144" s="16"/>
    </row>
    <row r="145" spans="1:7" s="55" customFormat="1" ht="12.75">
      <c r="A145" s="130" t="s">
        <v>377</v>
      </c>
      <c r="B145" s="131"/>
      <c r="C145" s="54">
        <v>11023.56</v>
      </c>
      <c r="D145" s="54"/>
      <c r="E145" s="54">
        <v>265</v>
      </c>
      <c r="F145" s="54">
        <f t="shared" si="5"/>
        <v>2.4039421021884038</v>
      </c>
      <c r="G145" s="54"/>
    </row>
    <row r="146" spans="1:7" s="55" customFormat="1" ht="12.75">
      <c r="A146" s="130" t="s">
        <v>378</v>
      </c>
      <c r="B146" s="131"/>
      <c r="C146" s="54">
        <v>952.95</v>
      </c>
      <c r="D146" s="54"/>
      <c r="E146" s="54">
        <v>0</v>
      </c>
      <c r="F146" s="54">
        <f t="shared" si="5"/>
        <v>0</v>
      </c>
      <c r="G146" s="54"/>
    </row>
    <row r="147" spans="1:7" s="55" customFormat="1" ht="12.75">
      <c r="A147" s="130" t="s">
        <v>379</v>
      </c>
      <c r="B147" s="131"/>
      <c r="C147" s="54">
        <v>3668.13</v>
      </c>
      <c r="D147" s="54"/>
      <c r="E147" s="54">
        <v>0</v>
      </c>
      <c r="F147" s="54">
        <f t="shared" si="5"/>
        <v>0</v>
      </c>
      <c r="G147" s="54"/>
    </row>
    <row r="148" spans="1:7" s="55" customFormat="1" ht="12.75">
      <c r="A148" s="130" t="s">
        <v>380</v>
      </c>
      <c r="B148" s="131"/>
      <c r="C148" s="54">
        <v>5481.12</v>
      </c>
      <c r="D148" s="54"/>
      <c r="E148" s="54">
        <v>0</v>
      </c>
      <c r="F148" s="54">
        <f t="shared" si="5"/>
        <v>0</v>
      </c>
      <c r="G148" s="54"/>
    </row>
    <row r="149" spans="1:7" s="55" customFormat="1" ht="12.75">
      <c r="A149" s="130" t="s">
        <v>381</v>
      </c>
      <c r="B149" s="131"/>
      <c r="C149" s="54">
        <v>128684.58</v>
      </c>
      <c r="D149" s="54"/>
      <c r="E149" s="54">
        <v>13940.13</v>
      </c>
      <c r="F149" s="54">
        <f t="shared" si="5"/>
        <v>10.832789756161926</v>
      </c>
      <c r="G149" s="54"/>
    </row>
    <row r="150" spans="1:7" ht="12.75">
      <c r="A150" s="133" t="s">
        <v>382</v>
      </c>
      <c r="B150" s="116"/>
      <c r="C150" s="16">
        <f>C151+C152</f>
        <v>11515.36</v>
      </c>
      <c r="D150" s="16"/>
      <c r="E150" s="16">
        <f>E151+E152</f>
        <v>8250</v>
      </c>
      <c r="F150" s="16">
        <f t="shared" si="5"/>
        <v>71.64343971877561</v>
      </c>
      <c r="G150" s="16"/>
    </row>
    <row r="151" spans="1:7" s="55" customFormat="1" ht="12.75">
      <c r="A151" s="130" t="s">
        <v>383</v>
      </c>
      <c r="B151" s="131"/>
      <c r="C151" s="54">
        <v>1990.84</v>
      </c>
      <c r="D151" s="54"/>
      <c r="E151" s="54">
        <v>0</v>
      </c>
      <c r="F151" s="54">
        <f t="shared" si="5"/>
        <v>0</v>
      </c>
      <c r="G151" s="54"/>
    </row>
    <row r="152" spans="1:7" s="55" customFormat="1" ht="12.75">
      <c r="A152" s="130" t="s">
        <v>384</v>
      </c>
      <c r="B152" s="131"/>
      <c r="C152" s="54">
        <v>9524.52</v>
      </c>
      <c r="D152" s="54"/>
      <c r="E152" s="54">
        <v>8250</v>
      </c>
      <c r="F152" s="54">
        <f t="shared" si="5"/>
        <v>86.61853825704601</v>
      </c>
      <c r="G152" s="54"/>
    </row>
    <row r="153" spans="1:7" ht="12.75">
      <c r="A153" s="16" t="s">
        <v>69</v>
      </c>
      <c r="B153" s="16"/>
      <c r="C153" s="16">
        <f>C154</f>
        <v>244133.27</v>
      </c>
      <c r="D153" s="16">
        <v>418076.85</v>
      </c>
      <c r="E153" s="16">
        <f>E154</f>
        <v>77437.33</v>
      </c>
      <c r="F153" s="16">
        <f t="shared" si="5"/>
        <v>31.719285945745945</v>
      </c>
      <c r="G153" s="16">
        <f>E153/D153*100</f>
        <v>18.522271682825778</v>
      </c>
    </row>
    <row r="154" spans="1:7" ht="12.75">
      <c r="A154" s="138" t="s">
        <v>371</v>
      </c>
      <c r="B154" s="131"/>
      <c r="C154" s="23">
        <f>C155</f>
        <v>244133.27</v>
      </c>
      <c r="D154" s="23"/>
      <c r="E154" s="23">
        <f>E155</f>
        <v>77437.33</v>
      </c>
      <c r="F154" s="16">
        <f t="shared" si="5"/>
        <v>31.719285945745945</v>
      </c>
      <c r="G154" s="23"/>
    </row>
    <row r="155" spans="1:7" s="55" customFormat="1" ht="12.75">
      <c r="A155" s="137" t="s">
        <v>372</v>
      </c>
      <c r="B155" s="131"/>
      <c r="C155" s="79">
        <v>244133.27</v>
      </c>
      <c r="D155" s="79"/>
      <c r="E155" s="79">
        <v>77437.33</v>
      </c>
      <c r="F155" s="54">
        <f t="shared" si="5"/>
        <v>31.719285945745945</v>
      </c>
      <c r="G155" s="79"/>
    </row>
    <row r="156" spans="1:7" ht="12.75">
      <c r="A156" s="25"/>
      <c r="B156" s="26"/>
      <c r="C156" s="26"/>
      <c r="D156" s="23"/>
      <c r="E156" s="23"/>
      <c r="F156" s="16"/>
      <c r="G156" s="23"/>
    </row>
    <row r="157" spans="1:7" ht="12.75">
      <c r="A157" s="140" t="s">
        <v>56</v>
      </c>
      <c r="B157" s="140"/>
      <c r="C157" s="29">
        <f>C73+C135</f>
        <v>1337902.75</v>
      </c>
      <c r="D157" s="23">
        <f>D73+D135</f>
        <v>4388891.76</v>
      </c>
      <c r="E157" s="23">
        <f>E73+E135</f>
        <v>1167113.94</v>
      </c>
      <c r="F157" s="16">
        <f t="shared" si="5"/>
        <v>87.23458711778565</v>
      </c>
      <c r="G157" s="23">
        <f>E157/D157*100</f>
        <v>26.592452122811068</v>
      </c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7" ht="12.75">
      <c r="A160" s="139" t="s">
        <v>439</v>
      </c>
      <c r="B160" s="139"/>
      <c r="C160" s="139"/>
      <c r="D160" s="139"/>
      <c r="E160" s="139"/>
      <c r="F160" s="139"/>
      <c r="G160" s="139"/>
    </row>
    <row r="162" spans="3:7" ht="12.75">
      <c r="C162" s="72" t="s">
        <v>284</v>
      </c>
      <c r="D162" s="6" t="s">
        <v>2</v>
      </c>
      <c r="E162" s="72" t="s">
        <v>284</v>
      </c>
      <c r="F162" s="6" t="s">
        <v>3</v>
      </c>
      <c r="G162" s="6" t="s">
        <v>3</v>
      </c>
    </row>
    <row r="163" spans="1:7" ht="12.75">
      <c r="A163" s="83"/>
      <c r="B163" s="83"/>
      <c r="C163" s="6">
        <v>1</v>
      </c>
      <c r="D163" s="6">
        <v>2</v>
      </c>
      <c r="E163" s="6">
        <v>3</v>
      </c>
      <c r="F163" s="6">
        <v>4</v>
      </c>
      <c r="G163" s="6">
        <v>5</v>
      </c>
    </row>
    <row r="164" spans="1:7" ht="12.75">
      <c r="A164" s="83" t="s">
        <v>290</v>
      </c>
      <c r="B164" s="83" t="s">
        <v>291</v>
      </c>
      <c r="C164" s="72" t="s">
        <v>285</v>
      </c>
      <c r="D164" s="6" t="s">
        <v>6</v>
      </c>
      <c r="E164" s="72" t="s">
        <v>228</v>
      </c>
      <c r="F164" s="74" t="s">
        <v>286</v>
      </c>
      <c r="G164" s="73" t="s">
        <v>8</v>
      </c>
    </row>
    <row r="165" spans="1:8" ht="12.75">
      <c r="A165" s="82" t="s">
        <v>0</v>
      </c>
      <c r="B165" s="82" t="s">
        <v>440</v>
      </c>
      <c r="C165" s="82">
        <f>10021617.3/7.5345+0.01</f>
        <v>1330097.202912602</v>
      </c>
      <c r="D165" s="82">
        <f>D166+D168+D170+D174+D180+D182</f>
        <v>3611283.5599999996</v>
      </c>
      <c r="E165" s="82">
        <f>E166+E168+E170+E174+E180+E182</f>
        <v>1310434.98</v>
      </c>
      <c r="F165" s="82">
        <f>E165/C165*100</f>
        <v>98.52174541307609</v>
      </c>
      <c r="G165" s="82">
        <f>E165/D165*100</f>
        <v>36.28723577718721</v>
      </c>
      <c r="H165" s="2"/>
    </row>
    <row r="166" spans="1:7" ht="12.75">
      <c r="A166" s="81" t="s">
        <v>303</v>
      </c>
      <c r="B166" s="81" t="s">
        <v>304</v>
      </c>
      <c r="C166" s="81">
        <v>675360.34</v>
      </c>
      <c r="D166" s="81">
        <f>D167</f>
        <v>1955008.4299999997</v>
      </c>
      <c r="E166" s="81">
        <f>E167</f>
        <v>980808.48</v>
      </c>
      <c r="F166" s="81">
        <f>E166/C166*100</f>
        <v>145.22743221788832</v>
      </c>
      <c r="G166" s="81">
        <f>E166/D166*100</f>
        <v>50.169015383734184</v>
      </c>
    </row>
    <row r="167" spans="1:7" ht="12.75">
      <c r="A167" s="84" t="s">
        <v>305</v>
      </c>
      <c r="B167" s="84" t="s">
        <v>306</v>
      </c>
      <c r="C167" s="84">
        <f>5088502.43/7.5345+0.01</f>
        <v>675360.3431342491</v>
      </c>
      <c r="D167" s="84">
        <f>1162089.2+517618.95+134348.65+132988.26+6636.14+1327.23</f>
        <v>1955008.4299999997</v>
      </c>
      <c r="E167" s="84">
        <f>670541.65+270484.98+5.22+10737.2+10558.06+9156.34-3.52+340.4+8988.15</f>
        <v>980808.48</v>
      </c>
      <c r="F167" s="85">
        <f aca="true" t="shared" si="6" ref="F167:F183">E167/C167*100</f>
        <v>145.22743154390892</v>
      </c>
      <c r="G167" s="85">
        <f aca="true" t="shared" si="7" ref="G167:G183">E167/D167*100</f>
        <v>50.169015383734184</v>
      </c>
    </row>
    <row r="168" spans="1:7" ht="12.75">
      <c r="A168" s="81" t="s">
        <v>441</v>
      </c>
      <c r="B168" s="81" t="s">
        <v>442</v>
      </c>
      <c r="C168" s="81">
        <v>11158.68</v>
      </c>
      <c r="D168" s="81">
        <f>D169</f>
        <v>19908.420000000002</v>
      </c>
      <c r="E168" s="81">
        <f>E169</f>
        <v>16267.5</v>
      </c>
      <c r="F168" s="81">
        <f t="shared" si="6"/>
        <v>145.7833722268225</v>
      </c>
      <c r="G168" s="81">
        <f t="shared" si="7"/>
        <v>81.7116576805191</v>
      </c>
    </row>
    <row r="169" spans="1:7" ht="12.75">
      <c r="A169" s="84" t="s">
        <v>443</v>
      </c>
      <c r="B169" s="84" t="s">
        <v>444</v>
      </c>
      <c r="C169" s="84">
        <f>84075.08/7.5345</f>
        <v>11158.680735284359</v>
      </c>
      <c r="D169" s="84">
        <f>13.27+19895.15</f>
        <v>19908.420000000002</v>
      </c>
      <c r="E169" s="84">
        <v>16267.5</v>
      </c>
      <c r="F169" s="85">
        <f t="shared" si="6"/>
        <v>145.7833626206481</v>
      </c>
      <c r="G169" s="85">
        <f t="shared" si="7"/>
        <v>81.7116576805191</v>
      </c>
    </row>
    <row r="170" spans="1:7" ht="12.75">
      <c r="A170" s="81" t="s">
        <v>445</v>
      </c>
      <c r="B170" s="81" t="s">
        <v>446</v>
      </c>
      <c r="C170" s="81">
        <f>C171+C172+C173</f>
        <v>214590.70940341096</v>
      </c>
      <c r="D170" s="81">
        <f>D171+D172+D173</f>
        <v>702116.9199999999</v>
      </c>
      <c r="E170" s="81">
        <f>E171+E172+E173</f>
        <v>159078.1</v>
      </c>
      <c r="F170" s="81">
        <f t="shared" si="6"/>
        <v>74.1309353243936</v>
      </c>
      <c r="G170" s="81">
        <f t="shared" si="7"/>
        <v>22.65692443361143</v>
      </c>
    </row>
    <row r="171" spans="1:7" ht="12.75">
      <c r="A171" s="84" t="s">
        <v>447</v>
      </c>
      <c r="B171" s="84" t="s">
        <v>448</v>
      </c>
      <c r="C171" s="84">
        <f>8508.84/7.5345</f>
        <v>1129.3171411507067</v>
      </c>
      <c r="D171" s="84">
        <f>6636.14</f>
        <v>6636.14</v>
      </c>
      <c r="E171" s="84">
        <v>1788.57</v>
      </c>
      <c r="F171" s="85">
        <f t="shared" si="6"/>
        <v>158.3762377127787</v>
      </c>
      <c r="G171" s="85">
        <f t="shared" si="7"/>
        <v>26.951963038754457</v>
      </c>
    </row>
    <row r="172" spans="1:7" ht="12.75">
      <c r="A172" s="84" t="s">
        <v>449</v>
      </c>
      <c r="B172" s="84" t="s">
        <v>450</v>
      </c>
      <c r="C172" s="84">
        <f>1280187.27/7.5345</f>
        <v>169910.04977105313</v>
      </c>
      <c r="D172" s="84">
        <f>577344.21</f>
        <v>577344.21</v>
      </c>
      <c r="E172" s="84">
        <f>9116.81+93121.34</f>
        <v>102238.15</v>
      </c>
      <c r="F172" s="85">
        <f t="shared" si="6"/>
        <v>60.17192634441678</v>
      </c>
      <c r="G172" s="85">
        <f t="shared" si="7"/>
        <v>17.708352873236574</v>
      </c>
    </row>
    <row r="173" spans="1:7" ht="12.75">
      <c r="A173" s="84" t="s">
        <v>451</v>
      </c>
      <c r="B173" s="84" t="s">
        <v>452</v>
      </c>
      <c r="C173" s="84">
        <f>328137.59/7.5345</f>
        <v>43551.34249120711</v>
      </c>
      <c r="D173" s="84">
        <f>69029.13+49107.44</f>
        <v>118136.57</v>
      </c>
      <c r="E173" s="84">
        <f>34051.07+3.52+868.69+8757.62+1965.22+9405.26</f>
        <v>55051.380000000005</v>
      </c>
      <c r="F173" s="85">
        <f t="shared" si="6"/>
        <v>126.40570152599709</v>
      </c>
      <c r="G173" s="85">
        <f t="shared" si="7"/>
        <v>46.59977854444225</v>
      </c>
    </row>
    <row r="174" spans="1:7" ht="12.75">
      <c r="A174" s="81" t="s">
        <v>453</v>
      </c>
      <c r="B174" s="81" t="s">
        <v>454</v>
      </c>
      <c r="C174" s="81">
        <f>C175+C176+C177+C178+C179</f>
        <v>234547.09536133782</v>
      </c>
      <c r="D174" s="81">
        <f>D175+D176+D178</f>
        <v>855943.3300000001</v>
      </c>
      <c r="E174" s="81">
        <f>E175+E176+E177+E178+E179</f>
        <v>87472.9</v>
      </c>
      <c r="F174" s="81">
        <f t="shared" si="6"/>
        <v>37.29438638548957</v>
      </c>
      <c r="G174" s="81">
        <f t="shared" si="7"/>
        <v>10.219473291532044</v>
      </c>
    </row>
    <row r="175" spans="1:7" ht="12.75">
      <c r="A175" s="84" t="s">
        <v>455</v>
      </c>
      <c r="B175" s="84" t="s">
        <v>456</v>
      </c>
      <c r="C175" s="84">
        <f>282025/7.5345</f>
        <v>37431.15004313491</v>
      </c>
      <c r="D175" s="84">
        <v>126367.47</v>
      </c>
      <c r="E175" s="84">
        <f>34498</f>
        <v>34498</v>
      </c>
      <c r="F175" s="85">
        <f t="shared" si="6"/>
        <v>92.16387944331177</v>
      </c>
      <c r="G175" s="85">
        <f t="shared" si="7"/>
        <v>27.299747316299044</v>
      </c>
    </row>
    <row r="176" spans="1:7" ht="12.75">
      <c r="A176" s="84" t="s">
        <v>457</v>
      </c>
      <c r="B176" s="84" t="s">
        <v>458</v>
      </c>
      <c r="C176" s="84">
        <v>0</v>
      </c>
      <c r="D176" s="84">
        <v>92905.97</v>
      </c>
      <c r="E176" s="84">
        <v>0</v>
      </c>
      <c r="F176" s="85"/>
      <c r="G176" s="85">
        <f t="shared" si="7"/>
        <v>0</v>
      </c>
    </row>
    <row r="177" spans="1:7" ht="12.75">
      <c r="A177" s="84" t="s">
        <v>459</v>
      </c>
      <c r="B177" s="84" t="s">
        <v>460</v>
      </c>
      <c r="C177" s="84">
        <f>355904.6/7.5345</f>
        <v>47236.65803968412</v>
      </c>
      <c r="D177" s="84">
        <v>0</v>
      </c>
      <c r="E177" s="84">
        <v>0</v>
      </c>
      <c r="F177" s="85">
        <f t="shared" si="6"/>
        <v>0</v>
      </c>
      <c r="G177" s="85"/>
    </row>
    <row r="178" spans="1:7" ht="12.75">
      <c r="A178" s="84" t="s">
        <v>461</v>
      </c>
      <c r="B178" s="84" t="s">
        <v>462</v>
      </c>
      <c r="C178" s="84">
        <f>328415.72/7.5345</f>
        <v>43588.25668591147</v>
      </c>
      <c r="D178" s="84">
        <v>636669.89</v>
      </c>
      <c r="E178" s="84">
        <v>0</v>
      </c>
      <c r="F178" s="85">
        <f t="shared" si="6"/>
        <v>0</v>
      </c>
      <c r="G178" s="85">
        <f t="shared" si="7"/>
        <v>0</v>
      </c>
    </row>
    <row r="179" spans="1:7" ht="12.75">
      <c r="A179" s="84" t="s">
        <v>463</v>
      </c>
      <c r="B179" s="84" t="s">
        <v>464</v>
      </c>
      <c r="C179" s="84">
        <f>800849.77/7.5345</f>
        <v>106291.03059260733</v>
      </c>
      <c r="D179" s="84">
        <v>0</v>
      </c>
      <c r="E179" s="84">
        <f>7946.23+45028.67</f>
        <v>52974.899999999994</v>
      </c>
      <c r="F179" s="85">
        <f t="shared" si="6"/>
        <v>49.83948288453651</v>
      </c>
      <c r="G179" s="85"/>
    </row>
    <row r="180" spans="1:7" ht="12.75">
      <c r="A180" s="81" t="s">
        <v>465</v>
      </c>
      <c r="B180" s="81" t="s">
        <v>466</v>
      </c>
      <c r="C180" s="81">
        <f>C181</f>
        <v>99.54210631096953</v>
      </c>
      <c r="D180" s="81">
        <f>D181</f>
        <v>1327.23</v>
      </c>
      <c r="E180" s="81">
        <f>E181</f>
        <v>0</v>
      </c>
      <c r="F180" s="81">
        <f t="shared" si="6"/>
        <v>0</v>
      </c>
      <c r="G180" s="81">
        <f t="shared" si="7"/>
        <v>0</v>
      </c>
    </row>
    <row r="181" spans="1:7" ht="12.75">
      <c r="A181" s="84" t="s">
        <v>467</v>
      </c>
      <c r="B181" s="84" t="s">
        <v>468</v>
      </c>
      <c r="C181" s="84">
        <f>750/7.5345</f>
        <v>99.54210631096953</v>
      </c>
      <c r="D181" s="84">
        <v>1327.23</v>
      </c>
      <c r="E181" s="84">
        <v>0</v>
      </c>
      <c r="F181" s="85">
        <f t="shared" si="6"/>
        <v>0</v>
      </c>
      <c r="G181" s="85">
        <f t="shared" si="7"/>
        <v>0</v>
      </c>
    </row>
    <row r="182" spans="1:7" ht="12.75">
      <c r="A182" s="81" t="s">
        <v>312</v>
      </c>
      <c r="B182" s="81" t="s">
        <v>313</v>
      </c>
      <c r="C182" s="81">
        <f>C183</f>
        <v>194340.83217200876</v>
      </c>
      <c r="D182" s="81">
        <f>D183</f>
        <v>76979.23</v>
      </c>
      <c r="E182" s="81">
        <f>E183</f>
        <v>66808</v>
      </c>
      <c r="F182" s="81">
        <f t="shared" si="6"/>
        <v>34.37671808509549</v>
      </c>
      <c r="G182" s="81">
        <f t="shared" si="7"/>
        <v>86.7870463240539</v>
      </c>
    </row>
    <row r="183" spans="1:7" ht="12.75">
      <c r="A183" s="84" t="s">
        <v>314</v>
      </c>
      <c r="B183" s="84" t="s">
        <v>315</v>
      </c>
      <c r="C183" s="84">
        <f>1464261/7.5345</f>
        <v>194340.83217200876</v>
      </c>
      <c r="D183" s="84">
        <v>76979.23</v>
      </c>
      <c r="E183" s="84">
        <v>66808</v>
      </c>
      <c r="F183" s="85">
        <f t="shared" si="6"/>
        <v>34.37671808509549</v>
      </c>
      <c r="G183" s="85">
        <f t="shared" si="7"/>
        <v>86.7870463240539</v>
      </c>
    </row>
    <row r="186" spans="1:7" ht="12.75">
      <c r="A186" s="139" t="s">
        <v>469</v>
      </c>
      <c r="B186" s="139"/>
      <c r="C186" s="139"/>
      <c r="D186" s="139"/>
      <c r="E186" s="139"/>
      <c r="F186" s="139"/>
      <c r="G186" s="139"/>
    </row>
    <row r="187" spans="1:7" ht="12.75">
      <c r="A187" s="80"/>
      <c r="B187" s="80"/>
      <c r="C187" s="80"/>
      <c r="D187" s="80"/>
      <c r="E187" s="80"/>
      <c r="F187" s="80"/>
      <c r="G187" s="80"/>
    </row>
    <row r="188" spans="3:7" ht="12.75">
      <c r="C188" s="72" t="s">
        <v>284</v>
      </c>
      <c r="D188" s="6" t="s">
        <v>2</v>
      </c>
      <c r="E188" s="72" t="s">
        <v>284</v>
      </c>
      <c r="F188" s="6" t="s">
        <v>3</v>
      </c>
      <c r="G188" s="6" t="s">
        <v>3</v>
      </c>
    </row>
    <row r="189" spans="1:7" ht="12.75">
      <c r="A189" s="83"/>
      <c r="B189" s="83"/>
      <c r="C189" s="6">
        <v>1</v>
      </c>
      <c r="D189" s="6">
        <v>2</v>
      </c>
      <c r="E189" s="6">
        <v>3</v>
      </c>
      <c r="F189" s="6">
        <v>4</v>
      </c>
      <c r="G189" s="6">
        <v>5</v>
      </c>
    </row>
    <row r="190" spans="1:7" ht="12.75">
      <c r="A190" s="83" t="s">
        <v>290</v>
      </c>
      <c r="B190" s="83" t="s">
        <v>291</v>
      </c>
      <c r="C190" s="72" t="s">
        <v>285</v>
      </c>
      <c r="D190" s="6" t="s">
        <v>6</v>
      </c>
      <c r="E190" s="72" t="s">
        <v>228</v>
      </c>
      <c r="F190" s="74" t="s">
        <v>286</v>
      </c>
      <c r="G190" s="73" t="s">
        <v>8</v>
      </c>
    </row>
    <row r="191" spans="1:7" ht="12.75">
      <c r="A191" s="82" t="s">
        <v>0</v>
      </c>
      <c r="B191" s="82" t="s">
        <v>470</v>
      </c>
      <c r="C191" s="82">
        <f>C192+C194+C196+C200+C205+C207+C211</f>
        <v>1337902.754181432</v>
      </c>
      <c r="D191" s="82">
        <f>D192+D194+D196+D200+D205+D207+D211+D209</f>
        <v>4388891.76</v>
      </c>
      <c r="E191" s="82">
        <f>E192+E194+E196+E200+E205+E207+E209+E211</f>
        <v>1167113.9400000002</v>
      </c>
      <c r="F191" s="82">
        <f>E191/C191*100</f>
        <v>87.2345868451459</v>
      </c>
      <c r="G191" s="82">
        <f>E191/D191*100</f>
        <v>26.59245212281107</v>
      </c>
    </row>
    <row r="192" spans="1:7" ht="12.75">
      <c r="A192" s="81" t="s">
        <v>303</v>
      </c>
      <c r="B192" s="81" t="s">
        <v>304</v>
      </c>
      <c r="C192" s="81">
        <f>C193+0.02</f>
        <v>862135.4224819165</v>
      </c>
      <c r="D192" s="81">
        <f>D193</f>
        <v>1803556.97</v>
      </c>
      <c r="E192" s="81">
        <f>E193</f>
        <v>979661.3400000001</v>
      </c>
      <c r="F192" s="81">
        <f>E192/C192*100</f>
        <v>113.6319555435676</v>
      </c>
      <c r="G192" s="81">
        <f>E192/D192*100</f>
        <v>54.31829192509512</v>
      </c>
    </row>
    <row r="193" spans="1:8" ht="12.75">
      <c r="A193" s="84" t="s">
        <v>305</v>
      </c>
      <c r="B193" s="84" t="s">
        <v>306</v>
      </c>
      <c r="C193" s="84">
        <f>6495759.19/7.5345</f>
        <v>862135.4024819165</v>
      </c>
      <c r="D193" s="84">
        <f>275565.73+532304.71+20704.76+19908.42+128077.51+127679.34+350255.49+40082.29+176255.88+132722.81+0.03</f>
        <v>1803556.97</v>
      </c>
      <c r="E193" s="84">
        <f>976657.46-101001.69+104005.57</f>
        <v>979661.3400000001</v>
      </c>
      <c r="F193" s="85">
        <f aca="true" t="shared" si="8" ref="F193:F210">E193/D193*100</f>
        <v>54.31829192509512</v>
      </c>
      <c r="G193" s="85">
        <f aca="true" t="shared" si="9" ref="G193:G210">E193/D193*100</f>
        <v>54.31829192509512</v>
      </c>
      <c r="H193" s="2"/>
    </row>
    <row r="194" spans="1:7" ht="12.75">
      <c r="A194" s="81" t="s">
        <v>441</v>
      </c>
      <c r="B194" s="81" t="s">
        <v>442</v>
      </c>
      <c r="C194" s="81">
        <f>C195</f>
        <v>11158.680735284359</v>
      </c>
      <c r="D194" s="81">
        <f>D195</f>
        <v>19908.420000000002</v>
      </c>
      <c r="E194" s="81">
        <f>E195</f>
        <v>15785.24</v>
      </c>
      <c r="F194" s="81">
        <f t="shared" si="8"/>
        <v>79.28926554693942</v>
      </c>
      <c r="G194" s="81">
        <f t="shared" si="9"/>
        <v>79.28926554693942</v>
      </c>
    </row>
    <row r="195" spans="1:7" ht="12.75">
      <c r="A195" s="84" t="s">
        <v>443</v>
      </c>
      <c r="B195" s="84" t="s">
        <v>444</v>
      </c>
      <c r="C195" s="84">
        <f>84075.08/7.5345</f>
        <v>11158.680735284359</v>
      </c>
      <c r="D195" s="84">
        <f>19563.34+345.08</f>
        <v>19908.420000000002</v>
      </c>
      <c r="E195" s="84">
        <v>15785.24</v>
      </c>
      <c r="F195" s="85">
        <f t="shared" si="8"/>
        <v>79.28926554693942</v>
      </c>
      <c r="G195" s="85">
        <f t="shared" si="9"/>
        <v>79.28926554693942</v>
      </c>
    </row>
    <row r="196" spans="1:7" ht="12.75">
      <c r="A196" s="81" t="s">
        <v>445</v>
      </c>
      <c r="B196" s="81" t="s">
        <v>446</v>
      </c>
      <c r="C196" s="81">
        <f>C198+C199</f>
        <v>116762.09303868868</v>
      </c>
      <c r="D196" s="81">
        <f>D197+D198+D199</f>
        <v>702116.9199999999</v>
      </c>
      <c r="E196" s="81">
        <f>E197+E198+E199</f>
        <v>135350.03</v>
      </c>
      <c r="F196" s="81">
        <f t="shared" si="8"/>
        <v>19.27742034759681</v>
      </c>
      <c r="G196" s="81">
        <f t="shared" si="9"/>
        <v>19.27742034759681</v>
      </c>
    </row>
    <row r="197" spans="1:7" ht="12.75">
      <c r="A197" s="84" t="s">
        <v>447</v>
      </c>
      <c r="B197" s="84" t="s">
        <v>448</v>
      </c>
      <c r="C197" s="84">
        <v>0</v>
      </c>
      <c r="D197" s="84">
        <v>6636.14</v>
      </c>
      <c r="E197" s="84">
        <v>0</v>
      </c>
      <c r="F197" s="85">
        <f t="shared" si="8"/>
        <v>0</v>
      </c>
      <c r="G197" s="85">
        <f t="shared" si="9"/>
        <v>0</v>
      </c>
    </row>
    <row r="198" spans="1:7" ht="12.75">
      <c r="A198" s="84" t="s">
        <v>449</v>
      </c>
      <c r="B198" s="84" t="s">
        <v>450</v>
      </c>
      <c r="C198" s="84">
        <f>855125.85/7.5345</f>
        <v>113494.70435994424</v>
      </c>
      <c r="D198" s="84">
        <f>126086.67+212356.49+26544.55+212356.52-0.02</f>
        <v>577344.21</v>
      </c>
      <c r="E198" s="84">
        <v>102238.15</v>
      </c>
      <c r="F198" s="85">
        <f t="shared" si="8"/>
        <v>17.708352873236574</v>
      </c>
      <c r="G198" s="85">
        <f t="shared" si="9"/>
        <v>17.708352873236574</v>
      </c>
    </row>
    <row r="199" spans="1:7" ht="12.75">
      <c r="A199" s="84" t="s">
        <v>451</v>
      </c>
      <c r="B199" s="84" t="s">
        <v>452</v>
      </c>
      <c r="C199" s="84">
        <f>24618.14/7.5345</f>
        <v>3267.388678744442</v>
      </c>
      <c r="D199" s="84">
        <f>79646.95+26544.56+2654.46+9290.6</f>
        <v>118136.57</v>
      </c>
      <c r="E199" s="84">
        <f>8757.62+24354.26</f>
        <v>33111.88</v>
      </c>
      <c r="F199" s="85">
        <f t="shared" si="8"/>
        <v>28.028475856375373</v>
      </c>
      <c r="G199" s="85">
        <f t="shared" si="9"/>
        <v>28.028475856375373</v>
      </c>
    </row>
    <row r="200" spans="1:7" ht="12.75">
      <c r="A200" s="81" t="s">
        <v>453</v>
      </c>
      <c r="B200" s="81" t="s">
        <v>454</v>
      </c>
      <c r="C200" s="81">
        <f>C201+C203+C204+0.01</f>
        <v>126760.1931574756</v>
      </c>
      <c r="D200" s="81">
        <f>D201+D202+D203+D204</f>
        <v>855943.3300000001</v>
      </c>
      <c r="E200" s="81">
        <f>E201+E202+E203+E204</f>
        <v>34498</v>
      </c>
      <c r="F200" s="81">
        <f t="shared" si="8"/>
        <v>4.0304070130437255</v>
      </c>
      <c r="G200" s="81">
        <f t="shared" si="9"/>
        <v>4.0304070130437255</v>
      </c>
    </row>
    <row r="201" spans="1:7" ht="12.75">
      <c r="A201" s="84" t="s">
        <v>455</v>
      </c>
      <c r="B201" s="84" t="s">
        <v>456</v>
      </c>
      <c r="C201" s="84">
        <f>282025/7.5345</f>
        <v>37431.15004313491</v>
      </c>
      <c r="D201" s="84">
        <f>25361.03+18983.74+79368.24+2654.46</f>
        <v>126367.47000000002</v>
      </c>
      <c r="E201" s="84">
        <f>34498</f>
        <v>34498</v>
      </c>
      <c r="F201" s="85">
        <f t="shared" si="8"/>
        <v>27.29974731629904</v>
      </c>
      <c r="G201" s="85">
        <f t="shared" si="9"/>
        <v>27.29974731629904</v>
      </c>
    </row>
    <row r="202" spans="1:7" ht="12.75">
      <c r="A202" s="84" t="s">
        <v>457</v>
      </c>
      <c r="B202" s="84" t="s">
        <v>458</v>
      </c>
      <c r="C202" s="84">
        <v>0</v>
      </c>
      <c r="D202" s="84">
        <f>92905.97</f>
        <v>92905.97</v>
      </c>
      <c r="E202" s="84">
        <v>0</v>
      </c>
      <c r="F202" s="85">
        <f t="shared" si="8"/>
        <v>0</v>
      </c>
      <c r="G202" s="85">
        <f t="shared" si="9"/>
        <v>0</v>
      </c>
    </row>
    <row r="203" spans="1:7" ht="12.75">
      <c r="A203" s="84" t="s">
        <v>459</v>
      </c>
      <c r="B203" s="84" t="s">
        <v>460</v>
      </c>
      <c r="C203" s="84">
        <f>355904.6/7.5345</f>
        <v>47236.65803968412</v>
      </c>
      <c r="D203" s="84">
        <v>0</v>
      </c>
      <c r="E203" s="84">
        <v>0</v>
      </c>
      <c r="F203" s="85"/>
      <c r="G203" s="85"/>
    </row>
    <row r="204" spans="1:7" ht="12.75">
      <c r="A204" s="84" t="s">
        <v>461</v>
      </c>
      <c r="B204" s="84" t="s">
        <v>462</v>
      </c>
      <c r="C204" s="84">
        <f>317145/7.5345</f>
        <v>42092.37507465658</v>
      </c>
      <c r="D204" s="84">
        <f>143712.56+94788.9+398168.43</f>
        <v>636669.89</v>
      </c>
      <c r="E204" s="84">
        <v>0</v>
      </c>
      <c r="F204" s="85">
        <f t="shared" si="8"/>
        <v>0</v>
      </c>
      <c r="G204" s="85">
        <f t="shared" si="9"/>
        <v>0</v>
      </c>
    </row>
    <row r="205" spans="1:7" ht="12.75">
      <c r="A205" s="81" t="s">
        <v>465</v>
      </c>
      <c r="B205" s="81" t="s">
        <v>466</v>
      </c>
      <c r="C205" s="81">
        <v>0</v>
      </c>
      <c r="D205" s="81">
        <f>D206</f>
        <v>1327.23</v>
      </c>
      <c r="E205" s="81">
        <f>E206</f>
        <v>0</v>
      </c>
      <c r="F205" s="81">
        <f t="shared" si="8"/>
        <v>0</v>
      </c>
      <c r="G205" s="81">
        <f t="shared" si="9"/>
        <v>0</v>
      </c>
    </row>
    <row r="206" spans="1:7" ht="12.75">
      <c r="A206" s="84" t="s">
        <v>467</v>
      </c>
      <c r="B206" s="84" t="s">
        <v>468</v>
      </c>
      <c r="C206" s="84">
        <v>0</v>
      </c>
      <c r="D206" s="84">
        <f>1327.23</f>
        <v>1327.23</v>
      </c>
      <c r="E206" s="84">
        <v>0</v>
      </c>
      <c r="F206" s="85">
        <f t="shared" si="8"/>
        <v>0</v>
      </c>
      <c r="G206" s="85">
        <f t="shared" si="9"/>
        <v>0</v>
      </c>
    </row>
    <row r="207" spans="1:7" ht="12.75">
      <c r="A207" s="81" t="s">
        <v>312</v>
      </c>
      <c r="B207" s="81" t="s">
        <v>313</v>
      </c>
      <c r="C207" s="81">
        <f>C208</f>
        <v>186307.27188267303</v>
      </c>
      <c r="D207" s="81">
        <f>D208</f>
        <v>76979.23000000001</v>
      </c>
      <c r="E207" s="81">
        <f>E208</f>
        <v>1819.33</v>
      </c>
      <c r="F207" s="81">
        <f t="shared" si="8"/>
        <v>2.3634037389046365</v>
      </c>
      <c r="G207" s="81">
        <f t="shared" si="9"/>
        <v>2.3634037389046365</v>
      </c>
    </row>
    <row r="208" spans="1:7" ht="12.75">
      <c r="A208" s="84" t="s">
        <v>314</v>
      </c>
      <c r="B208" s="84" t="s">
        <v>315</v>
      </c>
      <c r="C208" s="84">
        <f>1403732.14/7.5345</f>
        <v>186307.27188267303</v>
      </c>
      <c r="D208" s="84">
        <f>17253.97+2654.46+57070.8</f>
        <v>76979.23000000001</v>
      </c>
      <c r="E208" s="84">
        <v>1819.33</v>
      </c>
      <c r="F208" s="85">
        <f t="shared" si="8"/>
        <v>2.3634037389046365</v>
      </c>
      <c r="G208" s="85">
        <f t="shared" si="9"/>
        <v>2.3634037389046365</v>
      </c>
    </row>
    <row r="209" spans="1:7" ht="12.75">
      <c r="A209" s="78" t="s">
        <v>307</v>
      </c>
      <c r="B209" s="78" t="s">
        <v>308</v>
      </c>
      <c r="C209" s="78">
        <f>C210</f>
        <v>0</v>
      </c>
      <c r="D209" s="78">
        <f>D210</f>
        <v>929059.66</v>
      </c>
      <c r="E209" s="78">
        <f>E210</f>
        <v>0</v>
      </c>
      <c r="F209" s="81">
        <f t="shared" si="8"/>
        <v>0</v>
      </c>
      <c r="G209" s="81">
        <f t="shared" si="9"/>
        <v>0</v>
      </c>
    </row>
    <row r="210" spans="1:7" ht="12.75">
      <c r="A210" s="77" t="s">
        <v>309</v>
      </c>
      <c r="B210" s="77" t="s">
        <v>308</v>
      </c>
      <c r="C210" s="77">
        <v>0</v>
      </c>
      <c r="D210" s="77">
        <v>929059.66</v>
      </c>
      <c r="E210" s="77">
        <v>0</v>
      </c>
      <c r="F210" s="85">
        <f t="shared" si="8"/>
        <v>0</v>
      </c>
      <c r="G210" s="85">
        <f t="shared" si="9"/>
        <v>0</v>
      </c>
    </row>
    <row r="211" spans="1:7" ht="12.75">
      <c r="A211" s="81" t="s">
        <v>293</v>
      </c>
      <c r="B211" s="81" t="s">
        <v>294</v>
      </c>
      <c r="C211" s="81">
        <f>C212+C213+0.01</f>
        <v>34779.09288539385</v>
      </c>
      <c r="D211" s="81">
        <f>D212+D213</f>
        <v>0</v>
      </c>
      <c r="E211" s="81">
        <f>E212+E213</f>
        <v>0</v>
      </c>
      <c r="F211" s="81"/>
      <c r="G211" s="81"/>
    </row>
    <row r="212" spans="1:7" ht="12.75">
      <c r="A212" s="84" t="s">
        <v>295</v>
      </c>
      <c r="B212" s="84" t="s">
        <v>296</v>
      </c>
      <c r="C212" s="84">
        <f>261644/7.5345</f>
        <v>34726.126484836415</v>
      </c>
      <c r="D212" s="84">
        <v>0</v>
      </c>
      <c r="E212" s="84">
        <v>0</v>
      </c>
      <c r="F212" s="85"/>
      <c r="G212" s="85"/>
    </row>
    <row r="213" spans="1:7" ht="12.75">
      <c r="A213" s="84" t="s">
        <v>471</v>
      </c>
      <c r="B213" s="84" t="s">
        <v>472</v>
      </c>
      <c r="C213" s="84">
        <f>399/7.5345</f>
        <v>52.95640055743579</v>
      </c>
      <c r="D213" s="84">
        <v>0</v>
      </c>
      <c r="E213" s="84">
        <v>0</v>
      </c>
      <c r="F213" s="85"/>
      <c r="G213" s="85"/>
    </row>
  </sheetData>
  <sheetProtection/>
  <mergeCells count="127">
    <mergeCell ref="A160:G160"/>
    <mergeCell ref="A186:G186"/>
    <mergeCell ref="A151:B151"/>
    <mergeCell ref="A152:B152"/>
    <mergeCell ref="A139:B139"/>
    <mergeCell ref="A138:B138"/>
    <mergeCell ref="A157:B157"/>
    <mergeCell ref="A137:B137"/>
    <mergeCell ref="A155:B155"/>
    <mergeCell ref="A154:B154"/>
    <mergeCell ref="A145:B145"/>
    <mergeCell ref="A146:B146"/>
    <mergeCell ref="A147:B147"/>
    <mergeCell ref="A148:B148"/>
    <mergeCell ref="A149:B149"/>
    <mergeCell ref="A150:B150"/>
    <mergeCell ref="A111:B111"/>
    <mergeCell ref="A110:B110"/>
    <mergeCell ref="A141:B141"/>
    <mergeCell ref="A142:B142"/>
    <mergeCell ref="A143:B143"/>
    <mergeCell ref="A144:B144"/>
    <mergeCell ref="A118:B118"/>
    <mergeCell ref="A117:B117"/>
    <mergeCell ref="A115:B115"/>
    <mergeCell ref="A114:B114"/>
    <mergeCell ref="A113:B113"/>
    <mergeCell ref="A112:B112"/>
    <mergeCell ref="A126:B126"/>
    <mergeCell ref="A124:B124"/>
    <mergeCell ref="A123:B123"/>
    <mergeCell ref="A122:B122"/>
    <mergeCell ref="A121:B121"/>
    <mergeCell ref="A120:B120"/>
    <mergeCell ref="A133:B133"/>
    <mergeCell ref="A132:B132"/>
    <mergeCell ref="A131:B131"/>
    <mergeCell ref="A130:B130"/>
    <mergeCell ref="A128:B128"/>
    <mergeCell ref="A127:B127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8:B78"/>
    <mergeCell ref="A79:B79"/>
    <mergeCell ref="A80:B80"/>
    <mergeCell ref="A82:B82"/>
    <mergeCell ref="A83:B83"/>
    <mergeCell ref="A84:B84"/>
    <mergeCell ref="A22:B22"/>
    <mergeCell ref="A23:B23"/>
    <mergeCell ref="A75:B75"/>
    <mergeCell ref="A76:B76"/>
    <mergeCell ref="A77:B77"/>
    <mergeCell ref="A58:B58"/>
    <mergeCell ref="A59:B59"/>
    <mergeCell ref="A60:B60"/>
    <mergeCell ref="A62:B62"/>
    <mergeCell ref="A52:B52"/>
    <mergeCell ref="A53:B53"/>
    <mergeCell ref="A54:B54"/>
    <mergeCell ref="A55:B55"/>
    <mergeCell ref="A57:B57"/>
    <mergeCell ref="A68:B68"/>
    <mergeCell ref="A32:B32"/>
    <mergeCell ref="A33:B33"/>
    <mergeCell ref="A34:B34"/>
    <mergeCell ref="A35:B35"/>
    <mergeCell ref="A36:B36"/>
    <mergeCell ref="A44:B44"/>
    <mergeCell ref="A39:B39"/>
    <mergeCell ref="A40:B40"/>
    <mergeCell ref="A41:B41"/>
    <mergeCell ref="A42:B42"/>
    <mergeCell ref="A26:B26"/>
    <mergeCell ref="A27:B27"/>
    <mergeCell ref="A28:B28"/>
    <mergeCell ref="A29:B29"/>
    <mergeCell ref="A30:B30"/>
    <mergeCell ref="A31:B31"/>
    <mergeCell ref="A15:B15"/>
    <mergeCell ref="A38:B38"/>
    <mergeCell ref="A3:F3"/>
    <mergeCell ref="A16:B16"/>
    <mergeCell ref="A18:B18"/>
    <mergeCell ref="A17:B17"/>
    <mergeCell ref="A19:B19"/>
    <mergeCell ref="A20:B20"/>
    <mergeCell ref="A21:B21"/>
    <mergeCell ref="A24:B24"/>
    <mergeCell ref="A8:B8"/>
    <mergeCell ref="A2:G2"/>
    <mergeCell ref="A11:B11"/>
    <mergeCell ref="A12:B12"/>
    <mergeCell ref="A13:B13"/>
    <mergeCell ref="A14:B14"/>
    <mergeCell ref="A43:B43"/>
    <mergeCell ref="A70:B70"/>
    <mergeCell ref="A45:B45"/>
    <mergeCell ref="A47:B47"/>
    <mergeCell ref="A48:B48"/>
    <mergeCell ref="A49:B49"/>
    <mergeCell ref="A50:B50"/>
    <mergeCell ref="A63:B63"/>
    <mergeCell ref="A67:B67"/>
    <mergeCell ref="A51:B51"/>
  </mergeCells>
  <printOptions/>
  <pageMargins left="0.75" right="0.75" top="1" bottom="1" header="0.5" footer="0.5"/>
  <pageSetup fitToHeight="0" fitToWidth="1"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1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21.57421875" style="0" customWidth="1"/>
    <col min="2" max="2" width="54.57421875" style="0" customWidth="1"/>
    <col min="3" max="3" width="13.00390625" style="0" customWidth="1"/>
    <col min="4" max="4" width="11.421875" style="0" customWidth="1"/>
    <col min="5" max="5" width="16.140625" style="0" customWidth="1"/>
    <col min="6" max="6" width="12.421875" style="0" customWidth="1"/>
    <col min="7" max="7" width="9.7109375" style="0" customWidth="1"/>
    <col min="9" max="9" width="9.28125" style="0" customWidth="1"/>
  </cols>
  <sheetData>
    <row r="3" spans="1:9" ht="18">
      <c r="A3" s="129" t="s">
        <v>281</v>
      </c>
      <c r="B3" s="135"/>
      <c r="C3" s="135"/>
      <c r="D3" s="135"/>
      <c r="E3" s="135"/>
      <c r="F3" s="135"/>
      <c r="G3" s="135"/>
      <c r="H3" s="10"/>
      <c r="I3" s="10"/>
    </row>
    <row r="4" spans="1:9" ht="18">
      <c r="A4" s="10"/>
      <c r="B4" s="10"/>
      <c r="C4" s="10"/>
      <c r="D4" s="10"/>
      <c r="E4" s="10"/>
      <c r="F4" s="10"/>
      <c r="G4" s="10"/>
      <c r="H4" s="10"/>
      <c r="I4" s="10"/>
    </row>
    <row r="5" spans="1:6" ht="15.75">
      <c r="A5" s="128" t="s">
        <v>20</v>
      </c>
      <c r="B5" s="136"/>
      <c r="C5" s="136"/>
      <c r="D5" s="136"/>
      <c r="E5" s="136"/>
      <c r="F5" s="136"/>
    </row>
    <row r="6" spans="3:9" ht="12.75">
      <c r="C6" s="72"/>
      <c r="D6" s="6"/>
      <c r="E6" s="72"/>
      <c r="F6" s="6"/>
      <c r="G6" s="6"/>
      <c r="I6" s="12"/>
    </row>
    <row r="7" spans="3:9" ht="12.75">
      <c r="C7" s="72" t="s">
        <v>284</v>
      </c>
      <c r="D7" s="6" t="s">
        <v>2</v>
      </c>
      <c r="E7" s="72" t="s">
        <v>284</v>
      </c>
      <c r="F7" s="6" t="s">
        <v>3</v>
      </c>
      <c r="G7" s="6" t="s">
        <v>3</v>
      </c>
      <c r="H7" s="6"/>
      <c r="I7" s="6"/>
    </row>
    <row r="8" spans="3:9" ht="12.75">
      <c r="C8" s="6">
        <v>1</v>
      </c>
      <c r="D8" s="6">
        <v>2</v>
      </c>
      <c r="E8" s="6">
        <v>3</v>
      </c>
      <c r="F8" s="6">
        <v>4</v>
      </c>
      <c r="G8" s="6">
        <v>5</v>
      </c>
      <c r="H8" s="6"/>
      <c r="I8" s="6"/>
    </row>
    <row r="9" spans="1:9" ht="12.75">
      <c r="A9" s="1" t="s">
        <v>1</v>
      </c>
      <c r="B9" s="8" t="s">
        <v>76</v>
      </c>
      <c r="C9" s="72" t="s">
        <v>285</v>
      </c>
      <c r="D9" s="6" t="s">
        <v>6</v>
      </c>
      <c r="E9" s="72" t="s">
        <v>228</v>
      </c>
      <c r="F9" s="74" t="s">
        <v>286</v>
      </c>
      <c r="G9" s="73" t="s">
        <v>8</v>
      </c>
      <c r="H9" s="6"/>
      <c r="I9" s="6"/>
    </row>
    <row r="10" spans="1:7" ht="12.75">
      <c r="A10" s="143" t="s">
        <v>16</v>
      </c>
      <c r="B10" s="116"/>
      <c r="C10" s="71"/>
      <c r="D10" s="71"/>
      <c r="E10" s="71"/>
      <c r="F10" s="71"/>
      <c r="G10" s="71"/>
    </row>
    <row r="11" spans="1:7" ht="12.75">
      <c r="A11" s="21" t="s">
        <v>71</v>
      </c>
      <c r="B11" s="21"/>
      <c r="C11" s="21">
        <v>0</v>
      </c>
      <c r="D11" s="21">
        <v>1060455.24</v>
      </c>
      <c r="E11" s="21">
        <v>0</v>
      </c>
      <c r="F11" s="21"/>
      <c r="G11" s="21">
        <v>0</v>
      </c>
    </row>
    <row r="12" spans="1:7" ht="12.75">
      <c r="A12" s="16" t="s">
        <v>72</v>
      </c>
      <c r="B12" s="16"/>
      <c r="C12" s="16">
        <v>0</v>
      </c>
      <c r="D12" s="16">
        <v>1060455.24</v>
      </c>
      <c r="E12" s="16">
        <v>0</v>
      </c>
      <c r="F12" s="16"/>
      <c r="G12" s="16">
        <v>0</v>
      </c>
    </row>
    <row r="13" spans="1:7" ht="12.75">
      <c r="A13" s="133" t="s">
        <v>316</v>
      </c>
      <c r="B13" s="116"/>
      <c r="C13" s="16">
        <v>0</v>
      </c>
      <c r="D13" s="16"/>
      <c r="E13" s="16">
        <v>0</v>
      </c>
      <c r="F13" s="16"/>
      <c r="G13" s="16"/>
    </row>
    <row r="14" spans="2:7" ht="12.75">
      <c r="B14" s="30"/>
      <c r="C14" s="16"/>
      <c r="D14" s="16"/>
      <c r="E14" s="16"/>
      <c r="F14" s="16"/>
      <c r="G14" s="16"/>
    </row>
    <row r="15" spans="1:7" ht="12.75">
      <c r="A15" s="21" t="s">
        <v>74</v>
      </c>
      <c r="B15" s="21"/>
      <c r="C15" s="21">
        <f>C16</f>
        <v>225748.89</v>
      </c>
      <c r="D15" s="21">
        <v>282847.04</v>
      </c>
      <c r="E15" s="21">
        <f>E16</f>
        <v>101001.69</v>
      </c>
      <c r="F15" s="21">
        <f aca="true" t="shared" si="0" ref="F15:F20">E15/C15*100</f>
        <v>44.7407249710065</v>
      </c>
      <c r="G15" s="21">
        <f>E15/D15*100</f>
        <v>35.70894360428874</v>
      </c>
    </row>
    <row r="16" spans="1:7" ht="12.75">
      <c r="A16" s="16" t="s">
        <v>75</v>
      </c>
      <c r="B16" s="16"/>
      <c r="C16" s="16">
        <f>C17+C19</f>
        <v>225748.89</v>
      </c>
      <c r="D16" s="16">
        <v>282847.04</v>
      </c>
      <c r="E16" s="16">
        <f>E17+E19</f>
        <v>101001.69</v>
      </c>
      <c r="F16" s="16">
        <f t="shared" si="0"/>
        <v>44.7407249710065</v>
      </c>
      <c r="G16" s="16">
        <f>E16/D16*100</f>
        <v>35.70894360428874</v>
      </c>
    </row>
    <row r="17" spans="1:7" ht="12.75">
      <c r="A17" s="136" t="s">
        <v>317</v>
      </c>
      <c r="B17" s="136"/>
      <c r="C17" s="16">
        <f>C18</f>
        <v>87560.19</v>
      </c>
      <c r="D17" s="16"/>
      <c r="E17" s="16">
        <f>E18</f>
        <v>72813.2</v>
      </c>
      <c r="F17" s="16">
        <f t="shared" si="0"/>
        <v>83.15788259481849</v>
      </c>
      <c r="G17" s="16"/>
    </row>
    <row r="18" spans="1:7" ht="12.75">
      <c r="A18" s="142" t="s">
        <v>318</v>
      </c>
      <c r="B18" s="142"/>
      <c r="C18" s="2">
        <v>87560.19</v>
      </c>
      <c r="D18" s="2"/>
      <c r="E18" s="2">
        <v>72813.2</v>
      </c>
      <c r="F18" s="54">
        <f t="shared" si="0"/>
        <v>83.15788259481849</v>
      </c>
      <c r="G18" s="2"/>
    </row>
    <row r="19" spans="1:7" ht="12.75">
      <c r="A19" s="136" t="s">
        <v>319</v>
      </c>
      <c r="B19" s="136"/>
      <c r="C19" s="16">
        <f>C20</f>
        <v>138188.7</v>
      </c>
      <c r="D19" s="16"/>
      <c r="E19" s="16">
        <f>E20</f>
        <v>28188.49</v>
      </c>
      <c r="F19" s="16">
        <f t="shared" si="0"/>
        <v>20.39854923014689</v>
      </c>
      <c r="G19" s="16"/>
    </row>
    <row r="20" spans="1:7" ht="12.75">
      <c r="A20" s="131" t="s">
        <v>320</v>
      </c>
      <c r="B20" s="116"/>
      <c r="C20" s="2">
        <v>138188.7</v>
      </c>
      <c r="D20" s="2"/>
      <c r="E20" s="2">
        <v>28188.49</v>
      </c>
      <c r="F20" s="54">
        <f t="shared" si="0"/>
        <v>20.39854923014689</v>
      </c>
      <c r="G20" s="2"/>
    </row>
    <row r="23" spans="1:7" ht="12.75">
      <c r="A23" s="141" t="s">
        <v>301</v>
      </c>
      <c r="B23" s="141"/>
      <c r="C23" s="141"/>
      <c r="D23" s="141"/>
      <c r="E23" s="141"/>
      <c r="F23" s="141"/>
      <c r="G23" s="141"/>
    </row>
    <row r="25" spans="3:7" ht="12.75">
      <c r="C25" s="72" t="s">
        <v>284</v>
      </c>
      <c r="D25" s="6" t="s">
        <v>2</v>
      </c>
      <c r="E25" s="72" t="s">
        <v>284</v>
      </c>
      <c r="F25" s="6" t="s">
        <v>3</v>
      </c>
      <c r="G25" s="6" t="s">
        <v>3</v>
      </c>
    </row>
    <row r="26" spans="1:7" ht="12.75">
      <c r="A26" s="8"/>
      <c r="B26" s="8"/>
      <c r="C26" s="6">
        <v>1</v>
      </c>
      <c r="D26" s="6">
        <v>2</v>
      </c>
      <c r="E26" s="6">
        <v>3</v>
      </c>
      <c r="F26" s="6">
        <v>4</v>
      </c>
      <c r="G26" s="6">
        <v>5</v>
      </c>
    </row>
    <row r="27" spans="1:7" ht="12.75">
      <c r="A27" s="8" t="s">
        <v>290</v>
      </c>
      <c r="B27" s="8" t="s">
        <v>291</v>
      </c>
      <c r="C27" s="72" t="s">
        <v>285</v>
      </c>
      <c r="D27" s="6" t="s">
        <v>6</v>
      </c>
      <c r="E27" s="72" t="s">
        <v>228</v>
      </c>
      <c r="F27" s="74" t="s">
        <v>286</v>
      </c>
      <c r="G27" s="73" t="s">
        <v>8</v>
      </c>
    </row>
    <row r="28" spans="1:7" ht="12.75">
      <c r="A28" s="75" t="s">
        <v>0</v>
      </c>
      <c r="B28" s="75" t="s">
        <v>302</v>
      </c>
      <c r="C28" s="75">
        <f>C29+C31</f>
        <v>0</v>
      </c>
      <c r="D28" s="75">
        <f>D29+D31</f>
        <v>1060455.24</v>
      </c>
      <c r="E28" s="75">
        <f>E29</f>
        <v>0</v>
      </c>
      <c r="F28" s="75"/>
      <c r="G28" s="75">
        <f>E28/D28*100</f>
        <v>0</v>
      </c>
    </row>
    <row r="29" spans="1:7" ht="12.75">
      <c r="A29" s="76" t="s">
        <v>303</v>
      </c>
      <c r="B29" s="76" t="s">
        <v>304</v>
      </c>
      <c r="C29" s="76">
        <f>C30</f>
        <v>0</v>
      </c>
      <c r="D29" s="76">
        <f>D30</f>
        <v>131395.58</v>
      </c>
      <c r="E29" s="76">
        <f>E30</f>
        <v>0</v>
      </c>
      <c r="F29" s="76"/>
      <c r="G29" s="76">
        <f>E29/D29*100</f>
        <v>0</v>
      </c>
    </row>
    <row r="30" spans="1:7" ht="12.75">
      <c r="A30" s="77" t="s">
        <v>305</v>
      </c>
      <c r="B30" s="77" t="s">
        <v>306</v>
      </c>
      <c r="C30" s="77">
        <v>0</v>
      </c>
      <c r="D30" s="77">
        <v>131395.58</v>
      </c>
      <c r="E30" s="77">
        <v>0</v>
      </c>
      <c r="F30" s="77"/>
      <c r="G30" s="77">
        <f>E30/D30*100</f>
        <v>0</v>
      </c>
    </row>
    <row r="31" spans="1:7" ht="12.75">
      <c r="A31" s="78" t="s">
        <v>307</v>
      </c>
      <c r="B31" s="78" t="s">
        <v>308</v>
      </c>
      <c r="C31" s="78">
        <f>C32</f>
        <v>0</v>
      </c>
      <c r="D31" s="78">
        <f>D32</f>
        <v>929059.66</v>
      </c>
      <c r="E31" s="78">
        <v>0</v>
      </c>
      <c r="F31" s="78"/>
      <c r="G31" s="78">
        <v>0</v>
      </c>
    </row>
    <row r="32" spans="1:7" ht="12.75">
      <c r="A32" s="77" t="s">
        <v>309</v>
      </c>
      <c r="B32" s="77" t="s">
        <v>308</v>
      </c>
      <c r="C32" s="77">
        <v>0</v>
      </c>
      <c r="D32" s="77">
        <v>929059.66</v>
      </c>
      <c r="E32" s="77">
        <v>0</v>
      </c>
      <c r="F32" s="77"/>
      <c r="G32" s="77">
        <v>0</v>
      </c>
    </row>
    <row r="34" spans="1:7" ht="12.75">
      <c r="A34" s="141" t="s">
        <v>310</v>
      </c>
      <c r="B34" s="141"/>
      <c r="C34" s="141"/>
      <c r="D34" s="141"/>
      <c r="E34" s="141"/>
      <c r="F34" s="141"/>
      <c r="G34" s="141"/>
    </row>
    <row r="36" spans="3:7" ht="12.75">
      <c r="C36" s="72" t="s">
        <v>284</v>
      </c>
      <c r="D36" s="6" t="s">
        <v>2</v>
      </c>
      <c r="E36" s="72" t="s">
        <v>284</v>
      </c>
      <c r="F36" s="6" t="s">
        <v>3</v>
      </c>
      <c r="G36" s="6" t="s">
        <v>3</v>
      </c>
    </row>
    <row r="37" spans="1:7" ht="12.75">
      <c r="A37" s="8"/>
      <c r="B37" s="8"/>
      <c r="C37" s="6">
        <v>1</v>
      </c>
      <c r="D37" s="6">
        <v>2</v>
      </c>
      <c r="E37" s="6">
        <v>3</v>
      </c>
      <c r="F37" s="6">
        <v>4</v>
      </c>
      <c r="G37" s="6">
        <v>5</v>
      </c>
    </row>
    <row r="38" spans="1:7" ht="12.75">
      <c r="A38" s="8" t="s">
        <v>290</v>
      </c>
      <c r="B38" s="8" t="s">
        <v>291</v>
      </c>
      <c r="C38" s="72" t="s">
        <v>285</v>
      </c>
      <c r="D38" s="6" t="s">
        <v>6</v>
      </c>
      <c r="E38" s="72" t="s">
        <v>228</v>
      </c>
      <c r="F38" s="74" t="s">
        <v>286</v>
      </c>
      <c r="G38" s="73" t="s">
        <v>8</v>
      </c>
    </row>
    <row r="39" spans="1:7" ht="12.75">
      <c r="A39" s="75" t="s">
        <v>0</v>
      </c>
      <c r="B39" s="75" t="s">
        <v>311</v>
      </c>
      <c r="C39" s="75">
        <f aca="true" t="shared" si="1" ref="C39:E40">C40</f>
        <v>225748.88579202336</v>
      </c>
      <c r="D39" s="75">
        <f t="shared" si="1"/>
        <v>282847.04</v>
      </c>
      <c r="E39" s="75">
        <f t="shared" si="1"/>
        <v>101001.69</v>
      </c>
      <c r="F39" s="75">
        <f>E39/C39*100</f>
        <v>44.74072580497707</v>
      </c>
      <c r="G39" s="75">
        <f>E39/D39*100</f>
        <v>35.70894360428874</v>
      </c>
    </row>
    <row r="40" spans="1:7" ht="12.75">
      <c r="A40" s="76" t="s">
        <v>303</v>
      </c>
      <c r="B40" s="76" t="s">
        <v>304</v>
      </c>
      <c r="C40" s="76">
        <f t="shared" si="1"/>
        <v>225748.88579202336</v>
      </c>
      <c r="D40" s="76">
        <f t="shared" si="1"/>
        <v>282847.04</v>
      </c>
      <c r="E40" s="76">
        <f t="shared" si="1"/>
        <v>101001.69</v>
      </c>
      <c r="F40" s="76">
        <f>E40/C40*100</f>
        <v>44.74072580497707</v>
      </c>
      <c r="G40" s="76">
        <f>E40/D40*100</f>
        <v>35.70894360428874</v>
      </c>
    </row>
    <row r="41" spans="1:7" ht="12.75">
      <c r="A41" s="77" t="s">
        <v>305</v>
      </c>
      <c r="B41" s="77" t="s">
        <v>306</v>
      </c>
      <c r="C41" s="77">
        <f>1700904.98/7.5345</f>
        <v>225748.88579202336</v>
      </c>
      <c r="D41" s="77">
        <v>282847.04</v>
      </c>
      <c r="E41" s="77">
        <v>101001.69</v>
      </c>
      <c r="F41" s="77">
        <f>E41/C41*100</f>
        <v>44.74072580497707</v>
      </c>
      <c r="G41" s="77">
        <f>E41/D41*100</f>
        <v>35.70894360428874</v>
      </c>
    </row>
  </sheetData>
  <sheetProtection/>
  <mergeCells count="10">
    <mergeCell ref="A34:G34"/>
    <mergeCell ref="A23:G23"/>
    <mergeCell ref="A3:G3"/>
    <mergeCell ref="A13:B13"/>
    <mergeCell ref="A17:B17"/>
    <mergeCell ref="A18:B18"/>
    <mergeCell ref="A19:B19"/>
    <mergeCell ref="A20:B20"/>
    <mergeCell ref="A5:F5"/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5.421875" style="0" customWidth="1"/>
    <col min="2" max="2" width="38.57421875" style="0" customWidth="1"/>
    <col min="3" max="3" width="15.421875" style="0" customWidth="1"/>
    <col min="4" max="4" width="12.57421875" style="0" customWidth="1"/>
    <col min="5" max="5" width="14.421875" style="0" customWidth="1"/>
    <col min="6" max="6" width="11.7109375" style="0" customWidth="1"/>
    <col min="7" max="7" width="8.421875" style="0" customWidth="1"/>
    <col min="9" max="9" width="8.57421875" style="0" customWidth="1"/>
  </cols>
  <sheetData>
    <row r="3" spans="1:9" ht="18">
      <c r="A3" s="129" t="s">
        <v>281</v>
      </c>
      <c r="B3" s="135"/>
      <c r="C3" s="135"/>
      <c r="D3" s="135"/>
      <c r="E3" s="135"/>
      <c r="F3" s="135"/>
      <c r="G3" s="135"/>
      <c r="H3" s="10"/>
      <c r="I3" s="10"/>
    </row>
    <row r="5" spans="1:6" ht="15.75">
      <c r="A5" s="128" t="s">
        <v>20</v>
      </c>
      <c r="B5" s="136"/>
      <c r="C5" s="136"/>
      <c r="D5" s="136"/>
      <c r="E5" s="136"/>
      <c r="F5" s="136"/>
    </row>
    <row r="6" ht="12.75">
      <c r="I6" s="12"/>
    </row>
    <row r="7" spans="3:7" ht="12.75">
      <c r="C7" s="72" t="s">
        <v>284</v>
      </c>
      <c r="D7" s="6" t="s">
        <v>2</v>
      </c>
      <c r="E7" s="72" t="s">
        <v>284</v>
      </c>
      <c r="F7" s="6" t="s">
        <v>3</v>
      </c>
      <c r="G7" s="6" t="s">
        <v>3</v>
      </c>
    </row>
    <row r="8" spans="3:7" ht="12.75">
      <c r="C8" s="6">
        <v>1</v>
      </c>
      <c r="D8" s="6">
        <v>2</v>
      </c>
      <c r="E8" s="6">
        <v>3</v>
      </c>
      <c r="F8" s="6">
        <v>4</v>
      </c>
      <c r="G8" s="6">
        <v>5</v>
      </c>
    </row>
    <row r="9" spans="1:7" ht="12.75">
      <c r="A9" s="1" t="s">
        <v>1</v>
      </c>
      <c r="B9" s="8" t="s">
        <v>79</v>
      </c>
      <c r="C9" s="72" t="s">
        <v>285</v>
      </c>
      <c r="D9" s="6" t="s">
        <v>6</v>
      </c>
      <c r="E9" s="72" t="s">
        <v>228</v>
      </c>
      <c r="F9" s="74" t="s">
        <v>286</v>
      </c>
      <c r="G9" s="73" t="s">
        <v>8</v>
      </c>
    </row>
    <row r="10" spans="1:7" ht="15.75">
      <c r="A10" s="144" t="s">
        <v>34</v>
      </c>
      <c r="B10" s="116"/>
      <c r="C10" s="71"/>
      <c r="D10" s="71"/>
      <c r="E10" s="71"/>
      <c r="F10" s="71"/>
      <c r="G10" s="71"/>
    </row>
    <row r="11" spans="1:7" ht="12.75">
      <c r="A11" s="21" t="s">
        <v>77</v>
      </c>
      <c r="B11" s="21"/>
      <c r="C11" s="21">
        <f>C12</f>
        <v>34779.090000000004</v>
      </c>
      <c r="D11" s="21">
        <v>0</v>
      </c>
      <c r="E11" s="21">
        <v>0</v>
      </c>
      <c r="F11" s="21">
        <f>E11/C11*100</f>
        <v>0</v>
      </c>
      <c r="G11" s="21"/>
    </row>
    <row r="12" spans="1:7" ht="12.75">
      <c r="A12" s="16" t="s">
        <v>78</v>
      </c>
      <c r="B12" s="16"/>
      <c r="C12" s="16">
        <f>C14</f>
        <v>34779.090000000004</v>
      </c>
      <c r="D12" s="16">
        <v>0</v>
      </c>
      <c r="E12" s="16">
        <v>0</v>
      </c>
      <c r="F12" s="16">
        <v>0</v>
      </c>
      <c r="G12" s="16"/>
    </row>
    <row r="13" spans="1:7" ht="12.75">
      <c r="A13" s="133" t="s">
        <v>300</v>
      </c>
      <c r="B13" s="116"/>
      <c r="C13" s="16">
        <f>C14</f>
        <v>34779.090000000004</v>
      </c>
      <c r="D13" s="16"/>
      <c r="E13" s="16">
        <v>0</v>
      </c>
      <c r="F13" s="16">
        <v>0</v>
      </c>
      <c r="G13" s="16"/>
    </row>
    <row r="14" spans="1:7" ht="12.75">
      <c r="A14" s="131" t="s">
        <v>288</v>
      </c>
      <c r="B14" s="131"/>
      <c r="C14" s="54">
        <f>34779.08+0.01</f>
        <v>34779.090000000004</v>
      </c>
      <c r="D14" s="55"/>
      <c r="E14" s="54">
        <v>0</v>
      </c>
      <c r="F14" s="54">
        <v>0</v>
      </c>
      <c r="G14" s="55"/>
    </row>
    <row r="15" ht="12.75">
      <c r="C15" s="2"/>
    </row>
    <row r="16" spans="1:7" ht="12.75">
      <c r="A16" s="141" t="s">
        <v>289</v>
      </c>
      <c r="B16" s="141"/>
      <c r="C16" s="141"/>
      <c r="D16" s="141"/>
      <c r="E16" s="141"/>
      <c r="F16" s="141"/>
      <c r="G16" s="141"/>
    </row>
    <row r="19" spans="1:7" ht="12.75">
      <c r="A19" s="8"/>
      <c r="B19" s="8"/>
      <c r="C19" s="72" t="s">
        <v>284</v>
      </c>
      <c r="D19" s="6" t="s">
        <v>2</v>
      </c>
      <c r="E19" s="72" t="s">
        <v>284</v>
      </c>
      <c r="F19" s="6" t="s">
        <v>3</v>
      </c>
      <c r="G19" s="6" t="s">
        <v>3</v>
      </c>
    </row>
    <row r="20" spans="1:7" ht="12.75">
      <c r="A20" s="8"/>
      <c r="B20" s="8"/>
      <c r="C20" s="6">
        <v>1</v>
      </c>
      <c r="D20" s="6">
        <v>2</v>
      </c>
      <c r="E20" s="6">
        <v>3</v>
      </c>
      <c r="F20" s="6">
        <v>4</v>
      </c>
      <c r="G20" s="6">
        <v>5</v>
      </c>
    </row>
    <row r="21" spans="1:7" ht="12.75">
      <c r="A21" s="8" t="s">
        <v>290</v>
      </c>
      <c r="B21" s="8" t="s">
        <v>291</v>
      </c>
      <c r="C21" s="72" t="s">
        <v>285</v>
      </c>
      <c r="D21" s="6" t="s">
        <v>6</v>
      </c>
      <c r="E21" s="72" t="s">
        <v>228</v>
      </c>
      <c r="F21" s="74" t="s">
        <v>286</v>
      </c>
      <c r="G21" s="73" t="s">
        <v>8</v>
      </c>
    </row>
    <row r="22" spans="1:7" ht="12.75">
      <c r="A22" s="75" t="s">
        <v>0</v>
      </c>
      <c r="B22" s="75" t="s">
        <v>292</v>
      </c>
      <c r="C22" s="75">
        <f>C23</f>
        <v>34779.09288539385</v>
      </c>
      <c r="D22" s="75">
        <f>D23</f>
        <v>0</v>
      </c>
      <c r="E22" s="75">
        <f>E23</f>
        <v>0</v>
      </c>
      <c r="F22" s="75">
        <f>E22/C22*100</f>
        <v>0</v>
      </c>
      <c r="G22" s="75"/>
    </row>
    <row r="23" spans="1:7" ht="12.75">
      <c r="A23" s="76" t="s">
        <v>293</v>
      </c>
      <c r="B23" s="76" t="s">
        <v>294</v>
      </c>
      <c r="C23" s="76">
        <f>C24+C25+0.01</f>
        <v>34779.09288539385</v>
      </c>
      <c r="D23" s="76">
        <f>D24</f>
        <v>0</v>
      </c>
      <c r="E23" s="76">
        <f>E24</f>
        <v>0</v>
      </c>
      <c r="F23" s="76">
        <f>E23/C23*100</f>
        <v>0</v>
      </c>
      <c r="G23" s="76"/>
    </row>
    <row r="24" spans="1:7" ht="12.75">
      <c r="A24" s="77" t="s">
        <v>299</v>
      </c>
      <c r="B24" s="77" t="s">
        <v>296</v>
      </c>
      <c r="C24" s="77">
        <f>261644/7.5345</f>
        <v>34726.126484836415</v>
      </c>
      <c r="D24" s="77">
        <v>0</v>
      </c>
      <c r="E24" s="77">
        <v>0</v>
      </c>
      <c r="F24" s="77">
        <f>E24/C24*100</f>
        <v>0</v>
      </c>
      <c r="G24" s="77"/>
    </row>
    <row r="25" spans="1:7" ht="12.75">
      <c r="A25" s="77" t="s">
        <v>297</v>
      </c>
      <c r="B25" s="77" t="s">
        <v>298</v>
      </c>
      <c r="C25" s="77">
        <f>399/7.5345</f>
        <v>52.95640055743579</v>
      </c>
      <c r="D25" s="77">
        <v>0</v>
      </c>
      <c r="E25" s="77">
        <v>0</v>
      </c>
      <c r="F25" s="77">
        <v>0</v>
      </c>
      <c r="G25" s="77"/>
    </row>
  </sheetData>
  <sheetProtection/>
  <mergeCells count="6">
    <mergeCell ref="A5:F5"/>
    <mergeCell ref="A10:B10"/>
    <mergeCell ref="A3:G3"/>
    <mergeCell ref="A14:B14"/>
    <mergeCell ref="A16:G16"/>
    <mergeCell ref="A13:B13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1">
      <selection activeCell="A3" sqref="A3:G3"/>
    </sheetView>
  </sheetViews>
  <sheetFormatPr defaultColWidth="9.140625" defaultRowHeight="12.75"/>
  <cols>
    <col min="2" max="2" width="99.8515625" style="0" customWidth="1"/>
    <col min="3" max="3" width="15.421875" style="0" customWidth="1"/>
    <col min="4" max="4" width="13.57421875" style="0" customWidth="1"/>
    <col min="5" max="5" width="14.57421875" style="0" customWidth="1"/>
    <col min="6" max="6" width="12.7109375" style="0" customWidth="1"/>
    <col min="7" max="7" width="13.421875" style="0" customWidth="1"/>
    <col min="8" max="8" width="7.8515625" style="0" customWidth="1"/>
    <col min="9" max="9" width="17.7109375" style="0" customWidth="1"/>
  </cols>
  <sheetData>
    <row r="3" spans="1:9" ht="15.75">
      <c r="A3" s="129" t="s">
        <v>281</v>
      </c>
      <c r="B3" s="146"/>
      <c r="C3" s="146"/>
      <c r="D3" s="146"/>
      <c r="E3" s="146"/>
      <c r="F3" s="146"/>
      <c r="G3" s="146"/>
      <c r="H3" s="60"/>
      <c r="I3" s="60"/>
    </row>
    <row r="4" spans="1:2" ht="12.75">
      <c r="A4" s="145"/>
      <c r="B4" s="145"/>
    </row>
    <row r="5" spans="1:6" ht="15.75">
      <c r="A5" s="128" t="s">
        <v>20</v>
      </c>
      <c r="B5" s="128"/>
      <c r="C5" s="128"/>
      <c r="D5" s="128"/>
      <c r="E5" s="128"/>
      <c r="F5" s="128"/>
    </row>
    <row r="6" spans="1:9" ht="15.75">
      <c r="A6" s="129" t="s">
        <v>80</v>
      </c>
      <c r="B6" s="146"/>
      <c r="C6" s="146"/>
      <c r="D6" s="146"/>
      <c r="E6" s="146"/>
      <c r="F6" s="146"/>
      <c r="G6" s="146"/>
      <c r="H6" s="60"/>
      <c r="I6" s="60"/>
    </row>
    <row r="8" spans="3:7" ht="12.75">
      <c r="C8" s="9" t="s">
        <v>284</v>
      </c>
      <c r="D8" s="9" t="s">
        <v>2</v>
      </c>
      <c r="E8" s="9" t="s">
        <v>284</v>
      </c>
      <c r="F8" s="9" t="s">
        <v>3</v>
      </c>
      <c r="G8" s="9" t="s">
        <v>3</v>
      </c>
    </row>
    <row r="9" spans="3:7" ht="12.75">
      <c r="C9" s="9">
        <v>1</v>
      </c>
      <c r="D9" s="9">
        <v>2</v>
      </c>
      <c r="E9" s="9">
        <v>3</v>
      </c>
      <c r="F9" s="9">
        <v>4</v>
      </c>
      <c r="G9" s="9">
        <v>5</v>
      </c>
    </row>
    <row r="10" spans="1:7" ht="12.75">
      <c r="A10" s="136" t="s">
        <v>287</v>
      </c>
      <c r="B10" s="116"/>
      <c r="C10" s="9" t="s">
        <v>285</v>
      </c>
      <c r="D10" s="9" t="s">
        <v>6</v>
      </c>
      <c r="E10" s="9" t="s">
        <v>228</v>
      </c>
      <c r="F10" s="67" t="s">
        <v>286</v>
      </c>
      <c r="G10" s="67" t="s">
        <v>8</v>
      </c>
    </row>
    <row r="11" spans="1:7" ht="12.75">
      <c r="A11" t="s">
        <v>81</v>
      </c>
      <c r="B11" s="30"/>
      <c r="C11" s="16">
        <f>C12+C15+C18+C23+C28+C32+C34+C39+C42</f>
        <v>1337902.7141814318</v>
      </c>
      <c r="D11" s="16">
        <f>D12+D15+D18+D23+D28+D32+D34+D39+D42</f>
        <v>4388891.76</v>
      </c>
      <c r="E11" s="16">
        <f>E12+E15+E18+E23+E28+E32+E34+E39+E42</f>
        <v>1167113.94</v>
      </c>
      <c r="F11" s="16">
        <f>E11/C11*100</f>
        <v>87.23458945324545</v>
      </c>
      <c r="G11" s="16">
        <f>E11/D11*100</f>
        <v>26.592452122811068</v>
      </c>
    </row>
    <row r="12" spans="1:9" ht="12.75">
      <c r="A12" s="31" t="s">
        <v>82</v>
      </c>
      <c r="B12" s="31"/>
      <c r="C12" s="32">
        <f>C13+C14</f>
        <v>172528.12263587496</v>
      </c>
      <c r="D12" s="32">
        <v>413829.72</v>
      </c>
      <c r="E12" s="32">
        <f>E13+E14</f>
        <v>202400.81</v>
      </c>
      <c r="F12" s="32">
        <f>E12/C12*100</f>
        <v>117.31467711334929</v>
      </c>
      <c r="G12" s="32">
        <f>E12/D12*100</f>
        <v>48.90920110812728</v>
      </c>
      <c r="I12" s="2"/>
    </row>
    <row r="13" spans="1:9" s="55" customFormat="1" ht="16.5" customHeight="1">
      <c r="A13" s="68" t="s">
        <v>83</v>
      </c>
      <c r="B13" s="68"/>
      <c r="C13" s="69">
        <f>1275983.14/7.5345</f>
        <v>169352.06583051296</v>
      </c>
      <c r="D13" s="69">
        <v>397239.37</v>
      </c>
      <c r="E13" s="69">
        <v>197661.18</v>
      </c>
      <c r="F13" s="70">
        <f aca="true" t="shared" si="0" ref="F13:F49">E13/C13*100</f>
        <v>116.7161315869738</v>
      </c>
      <c r="G13" s="70">
        <f aca="true" t="shared" si="1" ref="G13:G49">E13/D13*100</f>
        <v>49.758708458328286</v>
      </c>
      <c r="I13" s="54"/>
    </row>
    <row r="14" spans="1:9" s="55" customFormat="1" ht="12.75">
      <c r="A14" s="68" t="s">
        <v>84</v>
      </c>
      <c r="B14" s="68"/>
      <c r="C14" s="69">
        <f>23930/7.5345</f>
        <v>3176.0568053620013</v>
      </c>
      <c r="D14" s="69">
        <v>16590.35</v>
      </c>
      <c r="E14" s="69">
        <v>4739.63</v>
      </c>
      <c r="F14" s="70">
        <f t="shared" si="0"/>
        <v>149.2300135185959</v>
      </c>
      <c r="G14" s="70">
        <f t="shared" si="1"/>
        <v>28.568595599248965</v>
      </c>
      <c r="I14" s="54"/>
    </row>
    <row r="15" spans="1:9" ht="12.75">
      <c r="A15" s="31" t="s">
        <v>85</v>
      </c>
      <c r="B15" s="31"/>
      <c r="C15" s="32">
        <f>C16+C17</f>
        <v>40827.466985201405</v>
      </c>
      <c r="D15" s="32">
        <v>123830.38</v>
      </c>
      <c r="E15" s="32">
        <f>E16+E17</f>
        <v>40610.45</v>
      </c>
      <c r="F15" s="32">
        <f t="shared" si="0"/>
        <v>99.46845346717183</v>
      </c>
      <c r="G15" s="32">
        <f t="shared" si="1"/>
        <v>32.79522359537296</v>
      </c>
      <c r="I15" s="2"/>
    </row>
    <row r="16" spans="1:9" s="55" customFormat="1" ht="12.75">
      <c r="A16" s="68" t="s">
        <v>86</v>
      </c>
      <c r="B16" s="68"/>
      <c r="C16" s="69">
        <f>307614.55/7.5345</f>
        <v>40827.466985201405</v>
      </c>
      <c r="D16" s="69">
        <v>121839.54</v>
      </c>
      <c r="E16" s="69">
        <v>40610.45</v>
      </c>
      <c r="F16" s="70">
        <f t="shared" si="0"/>
        <v>99.46845346717183</v>
      </c>
      <c r="G16" s="70">
        <f t="shared" si="1"/>
        <v>33.331092681407036</v>
      </c>
      <c r="I16" s="54"/>
    </row>
    <row r="17" spans="1:9" s="55" customFormat="1" ht="12.75">
      <c r="A17" s="68" t="s">
        <v>87</v>
      </c>
      <c r="B17" s="68"/>
      <c r="C17" s="69">
        <v>0</v>
      </c>
      <c r="D17" s="69">
        <v>1990.84</v>
      </c>
      <c r="E17" s="69">
        <v>0</v>
      </c>
      <c r="F17" s="70"/>
      <c r="G17" s="70">
        <f t="shared" si="1"/>
        <v>0</v>
      </c>
      <c r="I17" s="54"/>
    </row>
    <row r="18" spans="1:9" ht="12.75">
      <c r="A18" s="31" t="s">
        <v>88</v>
      </c>
      <c r="B18" s="31"/>
      <c r="C18" s="32">
        <f>C19+C20+C21+C22</f>
        <v>235185.06868405335</v>
      </c>
      <c r="D18" s="32">
        <v>237839.27</v>
      </c>
      <c r="E18" s="32">
        <f>E19+E20+E21+E22</f>
        <v>106007.02</v>
      </c>
      <c r="F18" s="32">
        <f t="shared" si="0"/>
        <v>45.07387335137734</v>
      </c>
      <c r="G18" s="32">
        <f t="shared" si="1"/>
        <v>44.57086502157529</v>
      </c>
      <c r="I18" s="2"/>
    </row>
    <row r="19" spans="1:9" s="55" customFormat="1" ht="12.75">
      <c r="A19" s="68" t="s">
        <v>89</v>
      </c>
      <c r="B19" s="68"/>
      <c r="C19" s="69">
        <f>1403732.14/7.5345</f>
        <v>186307.27188267303</v>
      </c>
      <c r="D19" s="69">
        <v>31853.47</v>
      </c>
      <c r="E19" s="69">
        <v>0</v>
      </c>
      <c r="F19" s="70">
        <f t="shared" si="0"/>
        <v>0</v>
      </c>
      <c r="G19" s="70">
        <f t="shared" si="1"/>
        <v>0</v>
      </c>
      <c r="I19" s="54"/>
    </row>
    <row r="20" spans="1:9" s="55" customFormat="1" ht="12.75">
      <c r="A20" s="68" t="s">
        <v>90</v>
      </c>
      <c r="B20" s="68"/>
      <c r="C20" s="69">
        <f>20000/7.5345</f>
        <v>2654.456168292521</v>
      </c>
      <c r="D20" s="69">
        <v>42471.3</v>
      </c>
      <c r="E20" s="69">
        <v>18001.98</v>
      </c>
      <c r="F20" s="70">
        <f t="shared" si="0"/>
        <v>678.17959155</v>
      </c>
      <c r="G20" s="70">
        <f t="shared" si="1"/>
        <v>42.386223167174066</v>
      </c>
      <c r="I20" s="54"/>
    </row>
    <row r="21" spans="1:9" s="55" customFormat="1" ht="12.75">
      <c r="A21" s="68" t="s">
        <v>91</v>
      </c>
      <c r="B21" s="68"/>
      <c r="C21" s="69">
        <f>111926.98/7.5345</f>
        <v>14855.26312296768</v>
      </c>
      <c r="D21" s="69">
        <v>63972.39</v>
      </c>
      <c r="E21" s="69">
        <v>39451.13</v>
      </c>
      <c r="F21" s="70">
        <f t="shared" si="0"/>
        <v>265.5700519972932</v>
      </c>
      <c r="G21" s="70">
        <f t="shared" si="1"/>
        <v>61.668995014880636</v>
      </c>
      <c r="I21" s="54"/>
    </row>
    <row r="22" spans="1:9" s="55" customFormat="1" ht="12.75">
      <c r="A22" s="68" t="s">
        <v>92</v>
      </c>
      <c r="B22" s="68"/>
      <c r="C22" s="69">
        <f>236342.78/7.5345</f>
        <v>31368.07751012011</v>
      </c>
      <c r="D22" s="69">
        <v>99542.11</v>
      </c>
      <c r="E22" s="69">
        <v>48553.91</v>
      </c>
      <c r="F22" s="70">
        <f t="shared" si="0"/>
        <v>154.78764991043943</v>
      </c>
      <c r="G22" s="70">
        <f t="shared" si="1"/>
        <v>48.777256178314886</v>
      </c>
      <c r="I22" s="54"/>
    </row>
    <row r="23" spans="1:9" ht="12.75">
      <c r="A23" s="31" t="s">
        <v>93</v>
      </c>
      <c r="B23" s="31"/>
      <c r="C23" s="32">
        <f>C24+C25+C26+C27</f>
        <v>147902.21647090052</v>
      </c>
      <c r="D23" s="32">
        <v>131395.58</v>
      </c>
      <c r="E23" s="32">
        <f>E24+E25+E26+E27</f>
        <v>28641.87</v>
      </c>
      <c r="F23" s="32">
        <f t="shared" si="0"/>
        <v>19.365409581698348</v>
      </c>
      <c r="G23" s="32">
        <f t="shared" si="1"/>
        <v>21.798198995734865</v>
      </c>
      <c r="I23" s="2"/>
    </row>
    <row r="24" spans="1:9" s="55" customFormat="1" ht="12.75">
      <c r="A24" s="68" t="s">
        <v>94</v>
      </c>
      <c r="B24" s="68"/>
      <c r="C24" s="69">
        <f>981876.02/7.5345</f>
        <v>130317.34288937553</v>
      </c>
      <c r="D24" s="69">
        <v>13272.28</v>
      </c>
      <c r="E24" s="69">
        <v>0</v>
      </c>
      <c r="F24" s="70">
        <f t="shared" si="0"/>
        <v>0</v>
      </c>
      <c r="G24" s="70">
        <f t="shared" si="1"/>
        <v>0</v>
      </c>
      <c r="I24" s="54"/>
    </row>
    <row r="25" spans="1:9" s="55" customFormat="1" ht="12.75">
      <c r="A25" s="68" t="s">
        <v>95</v>
      </c>
      <c r="B25" s="68"/>
      <c r="C25" s="69">
        <v>0</v>
      </c>
      <c r="D25" s="69">
        <v>26544.56</v>
      </c>
      <c r="E25" s="69">
        <v>0</v>
      </c>
      <c r="F25" s="70"/>
      <c r="G25" s="70">
        <f t="shared" si="1"/>
        <v>0</v>
      </c>
      <c r="I25" s="54"/>
    </row>
    <row r="26" spans="1:9" s="55" customFormat="1" ht="12.75">
      <c r="A26" s="68" t="s">
        <v>96</v>
      </c>
      <c r="B26" s="68"/>
      <c r="C26" s="69">
        <f>98743.23/7.5345</f>
        <v>13105.478797531354</v>
      </c>
      <c r="D26" s="69">
        <v>76979.23</v>
      </c>
      <c r="E26" s="69">
        <v>18966.87</v>
      </c>
      <c r="F26" s="70">
        <f t="shared" si="0"/>
        <v>144.72473911882366</v>
      </c>
      <c r="G26" s="70">
        <f t="shared" si="1"/>
        <v>24.638944816673277</v>
      </c>
      <c r="I26" s="54"/>
    </row>
    <row r="27" spans="1:9" s="55" customFormat="1" ht="12.75">
      <c r="A27" s="68" t="s">
        <v>97</v>
      </c>
      <c r="B27" s="68"/>
      <c r="C27" s="69">
        <f>33750/7.5345</f>
        <v>4479.394783993629</v>
      </c>
      <c r="D27" s="69">
        <v>14599.51</v>
      </c>
      <c r="E27" s="69">
        <v>9675</v>
      </c>
      <c r="F27" s="70">
        <f t="shared" si="0"/>
        <v>215.98900000000003</v>
      </c>
      <c r="G27" s="70">
        <f t="shared" si="1"/>
        <v>66.26934739590575</v>
      </c>
      <c r="I27" s="54"/>
    </row>
    <row r="28" spans="1:9" ht="12.75">
      <c r="A28" s="31" t="s">
        <v>98</v>
      </c>
      <c r="B28" s="31"/>
      <c r="C28" s="32">
        <f>C29+C30+C31</f>
        <v>334827.113942531</v>
      </c>
      <c r="D28" s="32">
        <v>1173004.18</v>
      </c>
      <c r="E28" s="32">
        <f>E29+E30+E31</f>
        <v>427076.52999999997</v>
      </c>
      <c r="F28" s="32">
        <f t="shared" si="0"/>
        <v>127.55135776528017</v>
      </c>
      <c r="G28" s="32">
        <f t="shared" si="1"/>
        <v>36.40878159530514</v>
      </c>
      <c r="I28" s="2"/>
    </row>
    <row r="29" spans="1:9" s="55" customFormat="1" ht="12.75">
      <c r="A29" s="68" t="s">
        <v>99</v>
      </c>
      <c r="B29" s="68"/>
      <c r="C29" s="69">
        <f>2491473.33/7.5345</f>
        <v>330675.33744774037</v>
      </c>
      <c r="D29" s="69">
        <v>1020372.95</v>
      </c>
      <c r="E29" s="69">
        <v>423669.87</v>
      </c>
      <c r="F29" s="70">
        <f t="shared" si="0"/>
        <v>128.12260910354598</v>
      </c>
      <c r="G29" s="70">
        <f t="shared" si="1"/>
        <v>41.52108011095355</v>
      </c>
      <c r="I29" s="54"/>
    </row>
    <row r="30" spans="1:9" s="55" customFormat="1" ht="12.75">
      <c r="A30" s="68" t="s">
        <v>100</v>
      </c>
      <c r="B30" s="68"/>
      <c r="C30" s="69">
        <v>0</v>
      </c>
      <c r="D30" s="69">
        <v>39816.84</v>
      </c>
      <c r="E30" s="69">
        <v>3406.66</v>
      </c>
      <c r="F30" s="70"/>
      <c r="G30" s="70">
        <f t="shared" si="1"/>
        <v>8.55582713243944</v>
      </c>
      <c r="I30" s="54"/>
    </row>
    <row r="31" spans="1:9" s="55" customFormat="1" ht="12.75">
      <c r="A31" s="68" t="s">
        <v>101</v>
      </c>
      <c r="B31" s="68"/>
      <c r="C31" s="69">
        <f>31281.56/7.5345</f>
        <v>4151.77649479063</v>
      </c>
      <c r="D31" s="69">
        <v>112814.39</v>
      </c>
      <c r="E31" s="69">
        <v>0</v>
      </c>
      <c r="F31" s="70">
        <f t="shared" si="0"/>
        <v>0</v>
      </c>
      <c r="G31" s="70">
        <f t="shared" si="1"/>
        <v>0</v>
      </c>
      <c r="I31" s="54"/>
    </row>
    <row r="32" spans="1:9" ht="12.75">
      <c r="A32" s="31" t="s">
        <v>102</v>
      </c>
      <c r="B32" s="31"/>
      <c r="C32" s="32">
        <f>C33</f>
        <v>1327.2280841462605</v>
      </c>
      <c r="D32" s="32">
        <v>5308.91</v>
      </c>
      <c r="E32" s="32">
        <f>E33</f>
        <v>331.81</v>
      </c>
      <c r="F32" s="32">
        <f t="shared" si="0"/>
        <v>25.00022445</v>
      </c>
      <c r="G32" s="32">
        <f t="shared" si="1"/>
        <v>6.250058863307157</v>
      </c>
      <c r="I32" s="2"/>
    </row>
    <row r="33" spans="1:9" s="55" customFormat="1" ht="12.75">
      <c r="A33" s="68" t="s">
        <v>103</v>
      </c>
      <c r="B33" s="68"/>
      <c r="C33" s="69">
        <f>10000/7.5345</f>
        <v>1327.2280841462605</v>
      </c>
      <c r="D33" s="69">
        <v>5308.91</v>
      </c>
      <c r="E33" s="69">
        <v>331.81</v>
      </c>
      <c r="F33" s="70">
        <f t="shared" si="0"/>
        <v>25.00022445</v>
      </c>
      <c r="G33" s="70">
        <f t="shared" si="1"/>
        <v>6.250058863307157</v>
      </c>
      <c r="I33" s="54"/>
    </row>
    <row r="34" spans="1:9" ht="12.75">
      <c r="A34" s="31" t="s">
        <v>104</v>
      </c>
      <c r="B34" s="31"/>
      <c r="C34" s="32">
        <f>C35+C36+C37+C38</f>
        <v>184256.62353175392</v>
      </c>
      <c r="D34" s="32">
        <v>384394.45</v>
      </c>
      <c r="E34" s="32">
        <f>E35+E36+E37+E38</f>
        <v>102404.11</v>
      </c>
      <c r="F34" s="32">
        <f t="shared" si="0"/>
        <v>55.57689489645519</v>
      </c>
      <c r="G34" s="32">
        <f t="shared" si="1"/>
        <v>26.640371628674657</v>
      </c>
      <c r="I34" s="2"/>
    </row>
    <row r="35" spans="1:9" s="55" customFormat="1" ht="12.75">
      <c r="A35" s="68" t="s">
        <v>105</v>
      </c>
      <c r="B35" s="68"/>
      <c r="C35" s="69">
        <f>344739.67/7.5345</f>
        <v>45754.8171743314</v>
      </c>
      <c r="D35" s="69">
        <v>244209.97</v>
      </c>
      <c r="E35" s="69">
        <v>62966.99</v>
      </c>
      <c r="F35" s="70">
        <f t="shared" si="0"/>
        <v>137.6182747274197</v>
      </c>
      <c r="G35" s="70">
        <f t="shared" si="1"/>
        <v>25.783955503536564</v>
      </c>
      <c r="I35" s="54"/>
    </row>
    <row r="36" spans="1:9" s="55" customFormat="1" ht="12.75">
      <c r="A36" s="68" t="s">
        <v>106</v>
      </c>
      <c r="B36" s="68"/>
      <c r="C36" s="69">
        <f>1016541.86/7.5345</f>
        <v>134918.29053022762</v>
      </c>
      <c r="D36" s="69">
        <v>129566.65</v>
      </c>
      <c r="E36" s="69">
        <v>37844.43</v>
      </c>
      <c r="F36" s="70">
        <f t="shared" si="0"/>
        <v>28.049888455651008</v>
      </c>
      <c r="G36" s="70">
        <f t="shared" si="1"/>
        <v>29.208465295660574</v>
      </c>
      <c r="I36" s="54"/>
    </row>
    <row r="37" spans="1:9" s="55" customFormat="1" ht="12.75">
      <c r="A37" s="68" t="s">
        <v>107</v>
      </c>
      <c r="B37" s="68"/>
      <c r="C37" s="69">
        <f>27000/7.5345</f>
        <v>3583.515827194903</v>
      </c>
      <c r="D37" s="69">
        <v>1327.23</v>
      </c>
      <c r="E37" s="69">
        <v>1592.69</v>
      </c>
      <c r="F37" s="70">
        <f t="shared" si="0"/>
        <v>44.444899277777786</v>
      </c>
      <c r="G37" s="70">
        <f t="shared" si="1"/>
        <v>120.00105482847736</v>
      </c>
      <c r="I37" s="54"/>
    </row>
    <row r="38" spans="1:9" s="55" customFormat="1" ht="12.75">
      <c r="A38" s="68" t="s">
        <v>108</v>
      </c>
      <c r="B38" s="68"/>
      <c r="C38" s="69">
        <v>0</v>
      </c>
      <c r="D38" s="69">
        <v>9290.6</v>
      </c>
      <c r="E38" s="69">
        <v>0</v>
      </c>
      <c r="F38" s="70"/>
      <c r="G38" s="70">
        <f t="shared" si="1"/>
        <v>0</v>
      </c>
      <c r="I38" s="54"/>
    </row>
    <row r="39" spans="1:9" ht="12.75">
      <c r="A39" s="31" t="s">
        <v>109</v>
      </c>
      <c r="B39" s="31"/>
      <c r="C39" s="32">
        <f>C40+C41</f>
        <v>180349.95421063108</v>
      </c>
      <c r="D39" s="32">
        <v>1748410.64</v>
      </c>
      <c r="E39" s="32">
        <f>E40+E41</f>
        <v>227527.51</v>
      </c>
      <c r="F39" s="32">
        <f t="shared" si="0"/>
        <v>126.15889535201666</v>
      </c>
      <c r="G39" s="32">
        <f t="shared" si="1"/>
        <v>13.013390835919417</v>
      </c>
      <c r="I39" s="2"/>
    </row>
    <row r="40" spans="1:9" s="55" customFormat="1" ht="12.75">
      <c r="A40" s="68" t="s">
        <v>110</v>
      </c>
      <c r="B40" s="68"/>
      <c r="C40" s="69">
        <f>1066246.73/7.5345</f>
        <v>141515.2604685115</v>
      </c>
      <c r="D40" s="69">
        <v>1684703.69</v>
      </c>
      <c r="E40" s="69">
        <v>187364.53</v>
      </c>
      <c r="F40" s="70">
        <f t="shared" si="0"/>
        <v>132.39881648077835</v>
      </c>
      <c r="G40" s="70">
        <f t="shared" si="1"/>
        <v>11.121512412666467</v>
      </c>
      <c r="I40" s="54"/>
    </row>
    <row r="41" spans="1:9" s="55" customFormat="1" ht="12.75">
      <c r="A41" s="68" t="s">
        <v>111</v>
      </c>
      <c r="B41" s="68"/>
      <c r="C41" s="69">
        <f>292600/7.5345</f>
        <v>38834.69374211958</v>
      </c>
      <c r="D41" s="69">
        <v>63706.95</v>
      </c>
      <c r="E41" s="69">
        <v>40162.98</v>
      </c>
      <c r="F41" s="70">
        <f t="shared" si="0"/>
        <v>103.42035981203009</v>
      </c>
      <c r="G41" s="70">
        <f t="shared" si="1"/>
        <v>63.043325728197644</v>
      </c>
      <c r="I41" s="54"/>
    </row>
    <row r="42" spans="1:9" ht="12.75">
      <c r="A42" s="31" t="s">
        <v>112</v>
      </c>
      <c r="B42" s="31"/>
      <c r="C42" s="32">
        <f>C43+C44+C45+C46+C48+C47+C49</f>
        <v>40698.9196363395</v>
      </c>
      <c r="D42" s="32">
        <v>170878.63</v>
      </c>
      <c r="E42" s="32">
        <f>E43+E44+E45+E46+E47+E48+E49</f>
        <v>32113.83</v>
      </c>
      <c r="F42" s="32">
        <f t="shared" si="0"/>
        <v>78.90585373506084</v>
      </c>
      <c r="G42" s="32">
        <f t="shared" si="1"/>
        <v>18.793356430818765</v>
      </c>
      <c r="I42" s="2"/>
    </row>
    <row r="43" spans="1:9" s="55" customFormat="1" ht="12.75">
      <c r="A43" s="68" t="s">
        <v>113</v>
      </c>
      <c r="B43" s="68"/>
      <c r="C43" s="69">
        <f>77546.01/7.5345</f>
        <v>10292.124228548675</v>
      </c>
      <c r="D43" s="69">
        <v>76380.01</v>
      </c>
      <c r="E43" s="69">
        <v>10143.15</v>
      </c>
      <c r="F43" s="70">
        <f t="shared" si="0"/>
        <v>98.55254148472629</v>
      </c>
      <c r="G43" s="70">
        <f t="shared" si="1"/>
        <v>13.27984900761338</v>
      </c>
      <c r="I43" s="54"/>
    </row>
    <row r="44" spans="1:9" s="55" customFormat="1" ht="12.75">
      <c r="A44" s="68" t="s">
        <v>114</v>
      </c>
      <c r="B44" s="68"/>
      <c r="C44" s="69">
        <f>9000/7.5345</f>
        <v>1194.5052757316344</v>
      </c>
      <c r="D44" s="69">
        <v>30526.25</v>
      </c>
      <c r="E44" s="69">
        <v>1000</v>
      </c>
      <c r="F44" s="70">
        <f t="shared" si="0"/>
        <v>83.71666666666667</v>
      </c>
      <c r="G44" s="70">
        <f t="shared" si="1"/>
        <v>3.275869129028295</v>
      </c>
      <c r="I44" s="54"/>
    </row>
    <row r="45" spans="1:9" s="55" customFormat="1" ht="12.75">
      <c r="A45" s="68" t="s">
        <v>115</v>
      </c>
      <c r="B45" s="68"/>
      <c r="C45" s="69">
        <f>135000/7.5345</f>
        <v>17917.579135974516</v>
      </c>
      <c r="D45" s="69">
        <v>39816.84</v>
      </c>
      <c r="E45" s="69">
        <v>13300</v>
      </c>
      <c r="F45" s="70">
        <f t="shared" si="0"/>
        <v>74.22877777777778</v>
      </c>
      <c r="G45" s="70">
        <f t="shared" si="1"/>
        <v>33.40295211774716</v>
      </c>
      <c r="I45" s="54"/>
    </row>
    <row r="46" spans="1:9" s="55" customFormat="1" ht="12.75">
      <c r="A46" s="68" t="s">
        <v>116</v>
      </c>
      <c r="B46" s="68"/>
      <c r="C46" s="69">
        <f>12900/7.5345</f>
        <v>1712.124228548676</v>
      </c>
      <c r="D46" s="69">
        <v>6636.14</v>
      </c>
      <c r="E46" s="69">
        <v>286.36</v>
      </c>
      <c r="F46" s="70">
        <f t="shared" si="0"/>
        <v>16.72542186046512</v>
      </c>
      <c r="G46" s="70">
        <f t="shared" si="1"/>
        <v>4.315159113581088</v>
      </c>
      <c r="I46" s="54"/>
    </row>
    <row r="47" spans="1:9" s="55" customFormat="1" ht="12.75">
      <c r="A47" s="68" t="s">
        <v>117</v>
      </c>
      <c r="B47" s="68"/>
      <c r="C47" s="69">
        <f>2200/7.5345</f>
        <v>291.9901785121773</v>
      </c>
      <c r="D47" s="69">
        <v>1990.84</v>
      </c>
      <c r="E47" s="69">
        <v>1189.92</v>
      </c>
      <c r="F47" s="70">
        <f t="shared" si="0"/>
        <v>407.5205563636364</v>
      </c>
      <c r="G47" s="70">
        <f t="shared" si="1"/>
        <v>59.76974543408813</v>
      </c>
      <c r="I47" s="54"/>
    </row>
    <row r="48" spans="1:9" s="55" customFormat="1" ht="12.75">
      <c r="A48" s="68" t="s">
        <v>118</v>
      </c>
      <c r="B48" s="68"/>
      <c r="C48" s="69">
        <f>2000/7.5345</f>
        <v>265.4456168292521</v>
      </c>
      <c r="D48" s="69">
        <v>1327.22</v>
      </c>
      <c r="E48" s="69">
        <v>200</v>
      </c>
      <c r="F48" s="70">
        <f t="shared" si="0"/>
        <v>75.345</v>
      </c>
      <c r="G48" s="70">
        <f t="shared" si="1"/>
        <v>15.069091785838069</v>
      </c>
      <c r="I48" s="54"/>
    </row>
    <row r="49" spans="1:9" s="55" customFormat="1" ht="12.75">
      <c r="A49" s="68" t="s">
        <v>119</v>
      </c>
      <c r="B49" s="68"/>
      <c r="C49" s="69">
        <f>68000/7.5345</f>
        <v>9025.150972194571</v>
      </c>
      <c r="D49" s="69">
        <v>14201.33</v>
      </c>
      <c r="E49" s="69">
        <v>5994.4</v>
      </c>
      <c r="F49" s="70">
        <f t="shared" si="0"/>
        <v>66.41883352941176</v>
      </c>
      <c r="G49" s="70">
        <f t="shared" si="1"/>
        <v>42.2101310229394</v>
      </c>
      <c r="I49" s="54"/>
    </row>
    <row r="51" ht="12.75">
      <c r="C51" s="2"/>
    </row>
  </sheetData>
  <sheetProtection/>
  <mergeCells count="5">
    <mergeCell ref="A4:B4"/>
    <mergeCell ref="A5:F5"/>
    <mergeCell ref="A6:G6"/>
    <mergeCell ref="A10:B10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24"/>
  <sheetViews>
    <sheetView zoomScalePageLayoutView="0" workbookViewId="0" topLeftCell="A501">
      <selection activeCell="A531" sqref="A531"/>
    </sheetView>
  </sheetViews>
  <sheetFormatPr defaultColWidth="9.140625" defaultRowHeight="12.75"/>
  <cols>
    <col min="1" max="1" width="95.57421875" style="0" customWidth="1"/>
    <col min="2" max="2" width="16.8515625" style="0" customWidth="1"/>
    <col min="3" max="3" width="16.421875" style="0" customWidth="1"/>
    <col min="4" max="4" width="13.421875" style="0" customWidth="1"/>
    <col min="5" max="5" width="15.57421875" style="0" customWidth="1"/>
  </cols>
  <sheetData>
    <row r="3" spans="1:5" ht="18">
      <c r="A3" s="150" t="s">
        <v>281</v>
      </c>
      <c r="B3" s="135"/>
      <c r="C3" s="135"/>
      <c r="D3" s="135"/>
      <c r="E3" s="43"/>
    </row>
    <row r="4" spans="1:5" ht="18">
      <c r="A4" s="63"/>
      <c r="B4" s="63"/>
      <c r="C4" s="63"/>
      <c r="D4" s="63"/>
      <c r="E4" s="43"/>
    </row>
    <row r="5" spans="1:5" ht="15.75">
      <c r="A5" s="151" t="s">
        <v>221</v>
      </c>
      <c r="B5" s="152"/>
      <c r="C5" s="152"/>
      <c r="D5" s="152"/>
      <c r="E5" s="59"/>
    </row>
    <row r="6" spans="1:5" ht="15.75">
      <c r="A6" s="64"/>
      <c r="B6" s="65"/>
      <c r="C6" s="65"/>
      <c r="D6" s="65"/>
      <c r="E6" s="59"/>
    </row>
    <row r="7" spans="1:5" ht="15.75">
      <c r="A7" s="150" t="s">
        <v>283</v>
      </c>
      <c r="B7" s="135"/>
      <c r="C7" s="135"/>
      <c r="D7" s="135"/>
      <c r="E7" s="59"/>
    </row>
    <row r="8" spans="1:5" ht="15.75">
      <c r="A8" s="63"/>
      <c r="E8" s="59"/>
    </row>
    <row r="9" spans="1:5" ht="15.75">
      <c r="A9" s="63"/>
      <c r="B9" s="33" t="s">
        <v>2</v>
      </c>
      <c r="C9" s="33" t="s">
        <v>227</v>
      </c>
      <c r="D9" s="33" t="s">
        <v>3</v>
      </c>
      <c r="E9" s="59"/>
    </row>
    <row r="10" spans="1:5" ht="15.75">
      <c r="A10" s="63"/>
      <c r="B10" s="33" t="s">
        <v>6</v>
      </c>
      <c r="C10" s="33" t="s">
        <v>228</v>
      </c>
      <c r="D10" s="33"/>
      <c r="E10" s="59"/>
    </row>
    <row r="11" spans="1:5" ht="15.75">
      <c r="A11" s="63"/>
      <c r="B11" s="33">
        <v>1</v>
      </c>
      <c r="C11" s="33">
        <v>2</v>
      </c>
      <c r="D11" s="47" t="s">
        <v>7</v>
      </c>
      <c r="E11" s="59"/>
    </row>
    <row r="12" spans="1:5" ht="12.75">
      <c r="A12" t="s">
        <v>73</v>
      </c>
      <c r="B12" s="3">
        <v>4671738.8</v>
      </c>
      <c r="C12" s="3">
        <v>1268115.6300000001</v>
      </c>
      <c r="D12" s="3">
        <v>27.144403492763768</v>
      </c>
      <c r="E12" s="2"/>
    </row>
    <row r="13" spans="1:5" ht="15.75">
      <c r="A13" s="34" t="s">
        <v>120</v>
      </c>
      <c r="B13" s="5">
        <v>4671738.8</v>
      </c>
      <c r="C13" s="5">
        <v>1268115.6300000001</v>
      </c>
      <c r="D13" s="48">
        <v>27.144403492763768</v>
      </c>
      <c r="E13" s="44"/>
    </row>
    <row r="14" spans="1:5" ht="15.75">
      <c r="A14" s="35" t="s">
        <v>121</v>
      </c>
      <c r="B14" s="36">
        <v>52823.68</v>
      </c>
      <c r="C14" s="36">
        <v>30049.4</v>
      </c>
      <c r="D14" s="49">
        <v>56.886229812084274</v>
      </c>
      <c r="E14" s="58"/>
    </row>
    <row r="15" spans="1:4" ht="12.75">
      <c r="A15" s="35" t="s">
        <v>128</v>
      </c>
      <c r="B15" s="36">
        <v>643853.11</v>
      </c>
      <c r="C15" s="36">
        <v>273353.10000000003</v>
      </c>
      <c r="D15" s="49">
        <v>42.45581729037545</v>
      </c>
    </row>
    <row r="16" spans="1:4" ht="12.75">
      <c r="A16" s="35" t="s">
        <v>135</v>
      </c>
      <c r="B16" s="36">
        <v>123830.38</v>
      </c>
      <c r="C16" s="36">
        <v>40610.45</v>
      </c>
      <c r="D16" s="49">
        <v>32.79522359537296</v>
      </c>
    </row>
    <row r="17" spans="1:4" ht="12.75">
      <c r="A17" s="35" t="s">
        <v>139</v>
      </c>
      <c r="B17" s="36">
        <v>539916.37</v>
      </c>
      <c r="C17" s="36">
        <v>340516.91000000003</v>
      </c>
      <c r="D17" s="49">
        <v>63.068454471939795</v>
      </c>
    </row>
    <row r="18" spans="1:4" ht="12.75">
      <c r="A18" s="35" t="s">
        <v>156</v>
      </c>
      <c r="B18" s="36">
        <v>764483.36</v>
      </c>
      <c r="C18" s="36">
        <v>115201.49</v>
      </c>
      <c r="D18" s="49">
        <v>15.069195227480165</v>
      </c>
    </row>
    <row r="19" spans="1:4" ht="12.75">
      <c r="A19" s="35" t="s">
        <v>173</v>
      </c>
      <c r="B19" s="36">
        <v>1748410.61</v>
      </c>
      <c r="C19" s="36">
        <v>227527.51</v>
      </c>
      <c r="D19" s="49">
        <v>13.013391059208912</v>
      </c>
    </row>
    <row r="20" spans="1:4" ht="12.75">
      <c r="A20" s="41" t="s">
        <v>186</v>
      </c>
      <c r="B20" s="42">
        <v>237626.88</v>
      </c>
      <c r="C20" s="42">
        <v>144763.13</v>
      </c>
      <c r="D20" s="50">
        <v>60.920351266658045</v>
      </c>
    </row>
    <row r="21" spans="1:4" ht="12.75">
      <c r="A21" s="35" t="s">
        <v>189</v>
      </c>
      <c r="B21" s="36">
        <v>384394.46</v>
      </c>
      <c r="C21" s="36">
        <v>102404.11000000002</v>
      </c>
      <c r="D21" s="49">
        <v>26.640370935626912</v>
      </c>
    </row>
    <row r="22" spans="1:4" ht="12.75">
      <c r="A22" s="35" t="s">
        <v>200</v>
      </c>
      <c r="B22" s="36">
        <v>176187.52</v>
      </c>
      <c r="C22" s="36">
        <v>32445.64</v>
      </c>
      <c r="D22" s="49">
        <v>18.41540195355494</v>
      </c>
    </row>
    <row r="23" spans="1:4" ht="12.75">
      <c r="A23" s="35" t="s">
        <v>209</v>
      </c>
      <c r="B23" s="36">
        <v>237839.25</v>
      </c>
      <c r="C23" s="36">
        <v>106007.02</v>
      </c>
      <c r="D23" s="49">
        <v>44.57086876955759</v>
      </c>
    </row>
    <row r="24" spans="1:5" ht="13.5" customHeight="1">
      <c r="A24" s="64"/>
      <c r="B24" s="65"/>
      <c r="C24" s="65"/>
      <c r="D24" s="65"/>
      <c r="E24" s="59"/>
    </row>
    <row r="25" spans="1:4" ht="15">
      <c r="A25" s="66"/>
      <c r="B25" s="66"/>
      <c r="C25" s="66"/>
      <c r="D25" s="66"/>
    </row>
    <row r="26" spans="1:4" ht="15.75">
      <c r="A26" s="153" t="s">
        <v>282</v>
      </c>
      <c r="B26" s="153"/>
      <c r="C26" s="153"/>
      <c r="D26" s="153"/>
    </row>
    <row r="28" spans="2:4" ht="12.75">
      <c r="B28" s="33" t="s">
        <v>2</v>
      </c>
      <c r="C28" s="33" t="s">
        <v>227</v>
      </c>
      <c r="D28" s="33" t="s">
        <v>3</v>
      </c>
    </row>
    <row r="29" spans="1:4" ht="12.75">
      <c r="A29" s="1"/>
      <c r="B29" s="33" t="s">
        <v>6</v>
      </c>
      <c r="C29" s="33" t="s">
        <v>228</v>
      </c>
      <c r="D29" s="33"/>
    </row>
    <row r="30" spans="1:4" ht="12.75">
      <c r="A30" s="1"/>
      <c r="B30" s="33">
        <v>1</v>
      </c>
      <c r="C30" s="33">
        <v>2</v>
      </c>
      <c r="D30" s="47" t="s">
        <v>7</v>
      </c>
    </row>
    <row r="31" spans="1:5" ht="12.75">
      <c r="A31" t="s">
        <v>73</v>
      </c>
      <c r="B31" s="3">
        <v>4671738.8</v>
      </c>
      <c r="C31" s="3">
        <f>C32</f>
        <v>1268115.6300000001</v>
      </c>
      <c r="D31" s="3">
        <f aca="true" t="shared" si="0" ref="D31:D38">C31/B31*100</f>
        <v>27.144403492763768</v>
      </c>
      <c r="E31" s="2"/>
    </row>
    <row r="32" spans="1:5" ht="15.75">
      <c r="A32" s="34" t="s">
        <v>120</v>
      </c>
      <c r="B32" s="5">
        <v>4671738.8</v>
      </c>
      <c r="C32" s="5">
        <f>C33+C61+C110+C125+C208+C279+C374+C431+C468</f>
        <v>1268115.6300000001</v>
      </c>
      <c r="D32" s="48">
        <f t="shared" si="0"/>
        <v>27.144403492763768</v>
      </c>
      <c r="E32" s="44"/>
    </row>
    <row r="33" spans="1:5" ht="15.75">
      <c r="A33" s="35" t="s">
        <v>121</v>
      </c>
      <c r="B33" s="36">
        <v>52823.68</v>
      </c>
      <c r="C33" s="36">
        <f>C35+C44</f>
        <v>30049.4</v>
      </c>
      <c r="D33" s="49">
        <f t="shared" si="0"/>
        <v>56.886229812084274</v>
      </c>
      <c r="E33" s="58"/>
    </row>
    <row r="34" spans="1:6" ht="15.75">
      <c r="A34" s="13" t="s">
        <v>39</v>
      </c>
      <c r="B34" s="14">
        <f>B37+B42+B46+B54</f>
        <v>52823.68</v>
      </c>
      <c r="C34" s="14">
        <f>C37+C42+C46+C54</f>
        <v>30049.4</v>
      </c>
      <c r="D34" s="53">
        <f t="shared" si="0"/>
        <v>56.886229812084274</v>
      </c>
      <c r="E34" s="46"/>
      <c r="F34" s="2"/>
    </row>
    <row r="35" spans="1:6" ht="15.75">
      <c r="A35" s="37" t="s">
        <v>122</v>
      </c>
      <c r="B35" s="38">
        <v>30924.42</v>
      </c>
      <c r="C35" s="38">
        <f>C36+C41</f>
        <v>7035.34</v>
      </c>
      <c r="D35" s="51">
        <f t="shared" si="0"/>
        <v>22.750111400634193</v>
      </c>
      <c r="E35" s="11"/>
      <c r="F35" s="2"/>
    </row>
    <row r="36" spans="1:5" ht="15.75">
      <c r="A36" s="39" t="s">
        <v>123</v>
      </c>
      <c r="B36" s="40">
        <v>27340.9</v>
      </c>
      <c r="C36" s="40">
        <f>C38</f>
        <v>7035.34</v>
      </c>
      <c r="D36" s="52">
        <f t="shared" si="0"/>
        <v>25.731925430399144</v>
      </c>
      <c r="E36" s="46"/>
    </row>
    <row r="37" spans="1:5" ht="15.75">
      <c r="A37" s="13" t="s">
        <v>39</v>
      </c>
      <c r="B37" s="14">
        <v>27340.9</v>
      </c>
      <c r="C37" s="14">
        <f>C38</f>
        <v>7035.34</v>
      </c>
      <c r="D37" s="53">
        <f t="shared" si="0"/>
        <v>25.731925430399144</v>
      </c>
      <c r="E37" s="46"/>
    </row>
    <row r="38" spans="1:5" ht="15.75">
      <c r="A38" s="3" t="s">
        <v>59</v>
      </c>
      <c r="B38" s="3">
        <v>27340.9</v>
      </c>
      <c r="C38" s="3">
        <f>C40+C39</f>
        <v>7035.34</v>
      </c>
      <c r="D38" s="3">
        <f t="shared" si="0"/>
        <v>25.731925430399144</v>
      </c>
      <c r="E38" s="44"/>
    </row>
    <row r="39" spans="1:5" s="55" customFormat="1" ht="15.75">
      <c r="A39" s="54" t="s">
        <v>265</v>
      </c>
      <c r="B39" s="54"/>
      <c r="C39" s="54">
        <v>4877.1</v>
      </c>
      <c r="D39" s="54"/>
      <c r="E39" s="11"/>
    </row>
    <row r="40" spans="1:5" s="55" customFormat="1" ht="15.75">
      <c r="A40" s="54" t="s">
        <v>252</v>
      </c>
      <c r="B40" s="54"/>
      <c r="C40" s="54">
        <v>2158.24</v>
      </c>
      <c r="D40" s="54"/>
      <c r="E40" s="11"/>
    </row>
    <row r="41" spans="1:4" ht="12.75">
      <c r="A41" s="39" t="s">
        <v>124</v>
      </c>
      <c r="B41" s="40">
        <v>3583.52</v>
      </c>
      <c r="C41" s="40">
        <f>C43</f>
        <v>0</v>
      </c>
      <c r="D41" s="52">
        <f aca="true" t="shared" si="1" ref="D41:D47">C41/B41*100</f>
        <v>0</v>
      </c>
    </row>
    <row r="42" spans="1:4" ht="12.75">
      <c r="A42" s="13" t="s">
        <v>39</v>
      </c>
      <c r="B42" s="14">
        <v>3583.52</v>
      </c>
      <c r="C42" s="14">
        <f>C43</f>
        <v>0</v>
      </c>
      <c r="D42" s="53">
        <f t="shared" si="1"/>
        <v>0</v>
      </c>
    </row>
    <row r="43" spans="1:4" ht="12.75">
      <c r="A43" s="3" t="s">
        <v>64</v>
      </c>
      <c r="B43" s="3">
        <v>3583.52</v>
      </c>
      <c r="C43" s="3">
        <v>0</v>
      </c>
      <c r="D43" s="3">
        <f t="shared" si="1"/>
        <v>0</v>
      </c>
    </row>
    <row r="44" spans="1:4" ht="12.75">
      <c r="A44" s="37" t="s">
        <v>125</v>
      </c>
      <c r="B44" s="38">
        <v>21899.26</v>
      </c>
      <c r="C44" s="38">
        <f>C45+C53</f>
        <v>23014.06</v>
      </c>
      <c r="D44" s="51">
        <f t="shared" si="1"/>
        <v>105.09058296947022</v>
      </c>
    </row>
    <row r="45" spans="1:4" ht="12.75">
      <c r="A45" s="39" t="s">
        <v>126</v>
      </c>
      <c r="B45" s="40">
        <v>6636.15</v>
      </c>
      <c r="C45" s="40">
        <f>C47</f>
        <v>7698.52</v>
      </c>
      <c r="D45" s="52">
        <f t="shared" si="1"/>
        <v>116.0088304212533</v>
      </c>
    </row>
    <row r="46" spans="1:4" ht="12.75">
      <c r="A46" s="13" t="s">
        <v>39</v>
      </c>
      <c r="B46" s="14">
        <v>6636.15</v>
      </c>
      <c r="C46" s="14">
        <f>C47</f>
        <v>7698.52</v>
      </c>
      <c r="D46" s="53">
        <f t="shared" si="1"/>
        <v>116.0088304212533</v>
      </c>
    </row>
    <row r="47" spans="1:4" ht="12.75">
      <c r="A47" s="3" t="s">
        <v>59</v>
      </c>
      <c r="B47" s="3">
        <v>6636.15</v>
      </c>
      <c r="C47" s="3">
        <f>C51+C52+C50+C49+C48</f>
        <v>7698.52</v>
      </c>
      <c r="D47" s="3">
        <f t="shared" si="1"/>
        <v>116.0088304212533</v>
      </c>
    </row>
    <row r="48" spans="1:4" s="55" customFormat="1" ht="12.75">
      <c r="A48" s="54" t="s">
        <v>267</v>
      </c>
      <c r="B48" s="54"/>
      <c r="C48" s="54">
        <v>200</v>
      </c>
      <c r="D48" s="54"/>
    </row>
    <row r="49" spans="1:4" s="55" customFormat="1" ht="12.75">
      <c r="A49" s="54" t="s">
        <v>260</v>
      </c>
      <c r="B49" s="54"/>
      <c r="C49" s="54">
        <v>615.68</v>
      </c>
      <c r="D49" s="54"/>
    </row>
    <row r="50" spans="1:4" s="55" customFormat="1" ht="12.75">
      <c r="A50" s="54" t="s">
        <v>258</v>
      </c>
      <c r="B50" s="54"/>
      <c r="C50" s="54">
        <v>861.98</v>
      </c>
      <c r="D50" s="54"/>
    </row>
    <row r="51" spans="1:4" s="55" customFormat="1" ht="12.75">
      <c r="A51" s="54" t="s">
        <v>252</v>
      </c>
      <c r="B51" s="54"/>
      <c r="C51" s="54">
        <v>4597.44</v>
      </c>
      <c r="D51" s="54"/>
    </row>
    <row r="52" spans="1:4" s="55" customFormat="1" ht="12.75">
      <c r="A52" s="54" t="s">
        <v>257</v>
      </c>
      <c r="B52" s="54"/>
      <c r="C52" s="54">
        <v>1423.42</v>
      </c>
      <c r="D52" s="54"/>
    </row>
    <row r="53" spans="1:4" ht="12.75">
      <c r="A53" s="39" t="s">
        <v>127</v>
      </c>
      <c r="B53" s="40">
        <v>15263.11</v>
      </c>
      <c r="C53" s="40">
        <f>C54</f>
        <v>15315.54</v>
      </c>
      <c r="D53" s="52">
        <f>C53/B53*100</f>
        <v>100.34350797445606</v>
      </c>
    </row>
    <row r="54" spans="1:4" ht="12.75">
      <c r="A54" s="13" t="s">
        <v>39</v>
      </c>
      <c r="B54" s="14">
        <v>15263.11</v>
      </c>
      <c r="C54" s="14">
        <f>C55</f>
        <v>15315.54</v>
      </c>
      <c r="D54" s="53">
        <f>C54/B54*100</f>
        <v>100.34350797445606</v>
      </c>
    </row>
    <row r="55" spans="1:4" ht="12.75">
      <c r="A55" s="3" t="s">
        <v>59</v>
      </c>
      <c r="B55" s="3">
        <v>15263.11</v>
      </c>
      <c r="C55" s="3">
        <f>C59+C60+C58+C57+C56</f>
        <v>15315.54</v>
      </c>
      <c r="D55" s="3">
        <f>C55/B55*100</f>
        <v>100.34350797445606</v>
      </c>
    </row>
    <row r="56" spans="1:4" s="55" customFormat="1" ht="12.75">
      <c r="A56" s="54" t="s">
        <v>265</v>
      </c>
      <c r="B56" s="54"/>
      <c r="C56" s="54">
        <v>1083.29</v>
      </c>
      <c r="D56" s="54"/>
    </row>
    <row r="57" spans="1:4" s="55" customFormat="1" ht="12.75">
      <c r="A57" s="54" t="s">
        <v>262</v>
      </c>
      <c r="B57" s="54"/>
      <c r="C57" s="54">
        <v>3201.27</v>
      </c>
      <c r="D57" s="54"/>
    </row>
    <row r="58" spans="1:4" s="55" customFormat="1" ht="12.75">
      <c r="A58" s="54" t="s">
        <v>260</v>
      </c>
      <c r="B58" s="54"/>
      <c r="C58" s="54">
        <v>9584.73</v>
      </c>
      <c r="D58" s="54"/>
    </row>
    <row r="59" spans="1:4" s="55" customFormat="1" ht="12.75">
      <c r="A59" s="54" t="s">
        <v>252</v>
      </c>
      <c r="B59" s="54"/>
      <c r="C59" s="54">
        <v>1053.25</v>
      </c>
      <c r="D59" s="54"/>
    </row>
    <row r="60" spans="1:4" s="55" customFormat="1" ht="12.75">
      <c r="A60" s="54" t="s">
        <v>257</v>
      </c>
      <c r="B60" s="54"/>
      <c r="C60" s="54">
        <v>393</v>
      </c>
      <c r="D60" s="54"/>
    </row>
    <row r="61" spans="1:4" ht="12.75">
      <c r="A61" s="35" t="s">
        <v>128</v>
      </c>
      <c r="B61" s="36">
        <v>643853.11</v>
      </c>
      <c r="C61" s="36">
        <f>C63</f>
        <v>273353.10000000003</v>
      </c>
      <c r="D61" s="49">
        <f aca="true" t="shared" si="2" ref="D61:D66">C61/B61*100</f>
        <v>42.45581729037545</v>
      </c>
    </row>
    <row r="62" spans="1:4" ht="12.75">
      <c r="A62" s="13" t="s">
        <v>39</v>
      </c>
      <c r="B62" s="14">
        <f>B65+B71+B92+B101+B104</f>
        <v>643853.11</v>
      </c>
      <c r="C62" s="14">
        <f>C65+C71+C92+C101+C104</f>
        <v>273353.10000000003</v>
      </c>
      <c r="D62" s="53">
        <f t="shared" si="2"/>
        <v>42.45581729037545</v>
      </c>
    </row>
    <row r="63" spans="1:4" ht="12.75">
      <c r="A63" s="37" t="s">
        <v>129</v>
      </c>
      <c r="B63" s="38">
        <v>643853.11</v>
      </c>
      <c r="C63" s="38">
        <f>C64+C70+C91+C100+C103</f>
        <v>273353.10000000003</v>
      </c>
      <c r="D63" s="51">
        <f t="shared" si="2"/>
        <v>42.45581729037545</v>
      </c>
    </row>
    <row r="64" spans="1:4" ht="12.75">
      <c r="A64" s="39" t="s">
        <v>130</v>
      </c>
      <c r="B64" s="40">
        <v>206549.87</v>
      </c>
      <c r="C64" s="40">
        <f>C66</f>
        <v>94377.46</v>
      </c>
      <c r="D64" s="52">
        <f t="shared" si="2"/>
        <v>45.69233570565792</v>
      </c>
    </row>
    <row r="65" spans="1:4" ht="12.75">
      <c r="A65" s="13" t="s">
        <v>39</v>
      </c>
      <c r="B65" s="14">
        <v>206549.87</v>
      </c>
      <c r="C65" s="14">
        <f>C66</f>
        <v>94377.46</v>
      </c>
      <c r="D65" s="53">
        <f t="shared" si="2"/>
        <v>45.69233570565792</v>
      </c>
    </row>
    <row r="66" spans="1:4" ht="12.75">
      <c r="A66" s="3" t="s">
        <v>58</v>
      </c>
      <c r="B66" s="3">
        <v>206549.87</v>
      </c>
      <c r="C66" s="3">
        <f>C69+C68+C67</f>
        <v>94377.46</v>
      </c>
      <c r="D66" s="3">
        <f t="shared" si="2"/>
        <v>45.69233570565792</v>
      </c>
    </row>
    <row r="67" spans="1:4" s="55" customFormat="1" ht="12.75">
      <c r="A67" s="54" t="s">
        <v>279</v>
      </c>
      <c r="B67" s="54"/>
      <c r="C67" s="54">
        <v>78524.49</v>
      </c>
      <c r="D67" s="54"/>
    </row>
    <row r="68" spans="1:4" s="55" customFormat="1" ht="12.75">
      <c r="A68" s="54" t="s">
        <v>278</v>
      </c>
      <c r="B68" s="54"/>
      <c r="C68" s="54">
        <v>2926.65</v>
      </c>
      <c r="D68" s="54"/>
    </row>
    <row r="69" spans="1:4" s="55" customFormat="1" ht="12.75">
      <c r="A69" s="54" t="s">
        <v>277</v>
      </c>
      <c r="B69" s="54"/>
      <c r="C69" s="54">
        <v>12926.32</v>
      </c>
      <c r="D69" s="54"/>
    </row>
    <row r="70" spans="1:4" ht="12.75">
      <c r="A70" s="39" t="s">
        <v>131</v>
      </c>
      <c r="B70" s="40">
        <v>110524.94</v>
      </c>
      <c r="C70" s="40">
        <f>C72</f>
        <v>63887.81</v>
      </c>
      <c r="D70" s="52">
        <f>C70/B70*100</f>
        <v>57.8039761885417</v>
      </c>
    </row>
    <row r="71" spans="1:4" ht="12.75">
      <c r="A71" s="13" t="s">
        <v>39</v>
      </c>
      <c r="B71" s="14">
        <v>110524.94</v>
      </c>
      <c r="C71" s="14">
        <f>C72</f>
        <v>63887.81</v>
      </c>
      <c r="D71" s="53">
        <f>C71/B71*100</f>
        <v>57.8039761885417</v>
      </c>
    </row>
    <row r="72" spans="1:4" ht="12.75">
      <c r="A72" s="3" t="s">
        <v>59</v>
      </c>
      <c r="B72" s="3">
        <v>110524.94</v>
      </c>
      <c r="C72" s="3">
        <f>C85+C86+C87+C88+C89+C90+C84+C83+C82+C81+C80+C79+C78+C77+C76+C75+C74+C73</f>
        <v>63887.81</v>
      </c>
      <c r="D72" s="3">
        <f>C72/B72*100</f>
        <v>57.8039761885417</v>
      </c>
    </row>
    <row r="73" spans="1:4" s="55" customFormat="1" ht="12.75">
      <c r="A73" s="54" t="s">
        <v>276</v>
      </c>
      <c r="B73" s="54"/>
      <c r="C73" s="54">
        <v>1606.29</v>
      </c>
      <c r="D73" s="54"/>
    </row>
    <row r="74" spans="1:4" s="55" customFormat="1" ht="12.75">
      <c r="A74" s="54" t="s">
        <v>275</v>
      </c>
      <c r="B74" s="54"/>
      <c r="C74" s="54">
        <v>199.08</v>
      </c>
      <c r="D74" s="54"/>
    </row>
    <row r="75" spans="1:4" s="55" customFormat="1" ht="12.75">
      <c r="A75" s="54" t="s">
        <v>272</v>
      </c>
      <c r="B75" s="54"/>
      <c r="C75" s="54">
        <v>2633.97</v>
      </c>
      <c r="D75" s="54"/>
    </row>
    <row r="76" spans="1:4" s="55" customFormat="1" ht="12.75">
      <c r="A76" s="54" t="s">
        <v>270</v>
      </c>
      <c r="B76" s="54"/>
      <c r="C76" s="54">
        <v>1689.79</v>
      </c>
      <c r="D76" s="54"/>
    </row>
    <row r="77" spans="1:4" s="55" customFormat="1" ht="12.75">
      <c r="A77" s="54" t="s">
        <v>268</v>
      </c>
      <c r="B77" s="54"/>
      <c r="C77" s="54">
        <v>2818.02</v>
      </c>
      <c r="D77" s="54"/>
    </row>
    <row r="78" spans="1:4" s="55" customFormat="1" ht="12.75">
      <c r="A78" s="54" t="s">
        <v>267</v>
      </c>
      <c r="B78" s="54"/>
      <c r="C78" s="54">
        <v>5609.22</v>
      </c>
      <c r="D78" s="54"/>
    </row>
    <row r="79" spans="1:4" s="55" customFormat="1" ht="12.75">
      <c r="A79" s="54" t="s">
        <v>266</v>
      </c>
      <c r="B79" s="54"/>
      <c r="C79" s="54">
        <v>3993.43</v>
      </c>
      <c r="D79" s="54"/>
    </row>
    <row r="80" spans="1:4" s="55" customFormat="1" ht="12.75">
      <c r="A80" s="54" t="s">
        <v>265</v>
      </c>
      <c r="B80" s="54"/>
      <c r="C80" s="54">
        <v>3027.49</v>
      </c>
      <c r="D80" s="54"/>
    </row>
    <row r="81" spans="1:4" s="55" customFormat="1" ht="12.75">
      <c r="A81" s="54" t="s">
        <v>263</v>
      </c>
      <c r="B81" s="54"/>
      <c r="C81" s="54">
        <v>1036.95</v>
      </c>
      <c r="D81" s="54"/>
    </row>
    <row r="82" spans="1:4" s="55" customFormat="1" ht="12.75">
      <c r="A82" s="54" t="s">
        <v>260</v>
      </c>
      <c r="B82" s="54"/>
      <c r="C82" s="54">
        <v>18790.47</v>
      </c>
      <c r="D82" s="54"/>
    </row>
    <row r="83" spans="1:4" s="55" customFormat="1" ht="12.75">
      <c r="A83" s="54" t="s">
        <v>259</v>
      </c>
      <c r="B83" s="54"/>
      <c r="C83" s="54">
        <v>10991.62</v>
      </c>
      <c r="D83" s="54"/>
    </row>
    <row r="84" spans="1:4" s="55" customFormat="1" ht="12.75">
      <c r="A84" s="54" t="s">
        <v>258</v>
      </c>
      <c r="B84" s="54"/>
      <c r="C84" s="54">
        <v>4846.27</v>
      </c>
      <c r="D84" s="54"/>
    </row>
    <row r="85" spans="1:4" s="55" customFormat="1" ht="12.75">
      <c r="A85" s="54" t="s">
        <v>251</v>
      </c>
      <c r="B85" s="54"/>
      <c r="C85" s="54">
        <v>567.44</v>
      </c>
      <c r="D85" s="54"/>
    </row>
    <row r="86" spans="1:4" s="55" customFormat="1" ht="12.75">
      <c r="A86" s="54" t="s">
        <v>252</v>
      </c>
      <c r="B86" s="54"/>
      <c r="C86" s="54">
        <v>394</v>
      </c>
      <c r="D86" s="54"/>
    </row>
    <row r="87" spans="1:4" s="55" customFormat="1" ht="12.75">
      <c r="A87" s="54" t="s">
        <v>254</v>
      </c>
      <c r="B87" s="54"/>
      <c r="C87" s="54">
        <v>780</v>
      </c>
      <c r="D87" s="54"/>
    </row>
    <row r="88" spans="1:4" s="55" customFormat="1" ht="12.75">
      <c r="A88" s="54" t="s">
        <v>255</v>
      </c>
      <c r="B88" s="54"/>
      <c r="C88" s="54">
        <v>3968.07</v>
      </c>
      <c r="D88" s="54"/>
    </row>
    <row r="89" spans="1:4" s="55" customFormat="1" ht="12.75">
      <c r="A89" s="54" t="s">
        <v>256</v>
      </c>
      <c r="B89" s="54"/>
      <c r="C89" s="54">
        <v>909.16</v>
      </c>
      <c r="D89" s="54"/>
    </row>
    <row r="90" spans="1:4" s="55" customFormat="1" ht="12.75">
      <c r="A90" s="54" t="s">
        <v>257</v>
      </c>
      <c r="B90" s="54"/>
      <c r="C90" s="54">
        <v>26.54</v>
      </c>
      <c r="D90" s="54"/>
    </row>
    <row r="91" spans="1:4" ht="12.75">
      <c r="A91" s="39" t="s">
        <v>132</v>
      </c>
      <c r="B91" s="40">
        <v>303551.8</v>
      </c>
      <c r="C91" s="40">
        <f>C93+C97</f>
        <v>110348.2</v>
      </c>
      <c r="D91" s="52">
        <f>C91/B91*100</f>
        <v>36.352345794029226</v>
      </c>
    </row>
    <row r="92" spans="1:4" ht="12.75">
      <c r="A92" s="13" t="s">
        <v>39</v>
      </c>
      <c r="B92" s="14">
        <v>303551.8</v>
      </c>
      <c r="C92" s="14">
        <f>C93+C97</f>
        <v>110348.2</v>
      </c>
      <c r="D92" s="53">
        <f>C92/B92*100</f>
        <v>36.352345794029226</v>
      </c>
    </row>
    <row r="93" spans="1:4" ht="12.75">
      <c r="A93" s="3" t="s">
        <v>60</v>
      </c>
      <c r="B93" s="3">
        <v>20704.76</v>
      </c>
      <c r="C93" s="3">
        <f>C96+C94+C95</f>
        <v>9346.51</v>
      </c>
      <c r="D93" s="3">
        <f>C93/B93*100</f>
        <v>45.141841779378275</v>
      </c>
    </row>
    <row r="94" spans="1:4" ht="12.75">
      <c r="A94" s="54" t="s">
        <v>248</v>
      </c>
      <c r="B94" s="54"/>
      <c r="C94" s="54">
        <v>7419.8</v>
      </c>
      <c r="D94" s="3"/>
    </row>
    <row r="95" spans="1:4" ht="12.75">
      <c r="A95" s="54" t="s">
        <v>249</v>
      </c>
      <c r="B95" s="54"/>
      <c r="C95" s="54">
        <v>1922.14</v>
      </c>
      <c r="D95" s="3"/>
    </row>
    <row r="96" spans="1:4" s="55" customFormat="1" ht="12.75">
      <c r="A96" s="54" t="s">
        <v>250</v>
      </c>
      <c r="B96" s="54"/>
      <c r="C96" s="54">
        <v>4.57</v>
      </c>
      <c r="D96" s="54"/>
    </row>
    <row r="97" spans="1:4" ht="12.75">
      <c r="A97" s="3" t="s">
        <v>75</v>
      </c>
      <c r="B97" s="3">
        <v>282847.04</v>
      </c>
      <c r="C97" s="3">
        <f>C98+C99</f>
        <v>101001.69</v>
      </c>
      <c r="D97" s="3">
        <f>C97/B97*100</f>
        <v>35.70894360428874</v>
      </c>
    </row>
    <row r="98" spans="1:4" s="55" customFormat="1" ht="12.75">
      <c r="A98" s="54" t="s">
        <v>239</v>
      </c>
      <c r="B98" s="54"/>
      <c r="C98" s="54">
        <v>72813.2</v>
      </c>
      <c r="D98" s="54"/>
    </row>
    <row r="99" spans="1:4" s="55" customFormat="1" ht="12.75">
      <c r="A99" s="54" t="s">
        <v>240</v>
      </c>
      <c r="B99" s="54"/>
      <c r="C99" s="54">
        <v>28188.49</v>
      </c>
      <c r="D99" s="54"/>
    </row>
    <row r="100" spans="1:4" ht="12.75">
      <c r="A100" s="39" t="s">
        <v>133</v>
      </c>
      <c r="B100" s="40">
        <v>6636.14</v>
      </c>
      <c r="C100" s="40">
        <f>C102</f>
        <v>0</v>
      </c>
      <c r="D100" s="52">
        <f aca="true" t="shared" si="3" ref="D100:D105">C100/B100*100</f>
        <v>0</v>
      </c>
    </row>
    <row r="101" spans="1:4" ht="12.75">
      <c r="A101" s="13" t="s">
        <v>39</v>
      </c>
      <c r="B101" s="14">
        <v>6636.14</v>
      </c>
      <c r="C101" s="14">
        <f>C102</f>
        <v>0</v>
      </c>
      <c r="D101" s="53">
        <f t="shared" si="3"/>
        <v>0</v>
      </c>
    </row>
    <row r="102" spans="1:4" ht="12.75">
      <c r="A102" s="3" t="s">
        <v>59</v>
      </c>
      <c r="B102" s="3">
        <v>6636.14</v>
      </c>
      <c r="C102" s="3">
        <v>0</v>
      </c>
      <c r="D102" s="3">
        <f t="shared" si="3"/>
        <v>0</v>
      </c>
    </row>
    <row r="103" spans="1:4" ht="12.75">
      <c r="A103" s="39" t="s">
        <v>134</v>
      </c>
      <c r="B103" s="40">
        <v>16590.36</v>
      </c>
      <c r="C103" s="40">
        <f>C105+C107</f>
        <v>4739.63</v>
      </c>
      <c r="D103" s="52">
        <f t="shared" si="3"/>
        <v>28.568578379251562</v>
      </c>
    </row>
    <row r="104" spans="1:4" ht="12.75">
      <c r="A104" s="13" t="s">
        <v>39</v>
      </c>
      <c r="B104" s="14">
        <v>16590.36</v>
      </c>
      <c r="C104" s="14">
        <f>C105+C107</f>
        <v>4739.63</v>
      </c>
      <c r="D104" s="53">
        <f t="shared" si="3"/>
        <v>28.568578379251562</v>
      </c>
    </row>
    <row r="105" spans="1:4" ht="12.75">
      <c r="A105" s="3" t="s">
        <v>66</v>
      </c>
      <c r="B105" s="3">
        <v>265.45</v>
      </c>
      <c r="C105" s="3">
        <f>C106</f>
        <v>739.93</v>
      </c>
      <c r="D105" s="3">
        <f t="shared" si="3"/>
        <v>278.7455264644942</v>
      </c>
    </row>
    <row r="106" spans="1:4" s="55" customFormat="1" ht="12.75">
      <c r="A106" s="57" t="s">
        <v>231</v>
      </c>
      <c r="B106" s="54"/>
      <c r="C106" s="54">
        <v>739.93</v>
      </c>
      <c r="D106" s="54"/>
    </row>
    <row r="107" spans="1:4" ht="12.75">
      <c r="A107" s="3" t="s">
        <v>67</v>
      </c>
      <c r="B107" s="3">
        <v>16324.91</v>
      </c>
      <c r="C107" s="3">
        <f>C108+C109</f>
        <v>3999.7</v>
      </c>
      <c r="D107" s="3">
        <f>C107/B107*100</f>
        <v>24.50059449026059</v>
      </c>
    </row>
    <row r="108" spans="1:4" s="55" customFormat="1" ht="12.75">
      <c r="A108" s="54" t="s">
        <v>235</v>
      </c>
      <c r="B108" s="54"/>
      <c r="C108" s="54">
        <v>265</v>
      </c>
      <c r="D108" s="54"/>
    </row>
    <row r="109" spans="1:4" s="55" customFormat="1" ht="12.75">
      <c r="A109" s="54" t="s">
        <v>236</v>
      </c>
      <c r="B109" s="54"/>
      <c r="C109" s="54">
        <v>3734.7</v>
      </c>
      <c r="D109" s="54"/>
    </row>
    <row r="110" spans="1:4" ht="12.75">
      <c r="A110" s="35" t="s">
        <v>135</v>
      </c>
      <c r="B110" s="36">
        <v>123830.38</v>
      </c>
      <c r="C110" s="36">
        <f>C113</f>
        <v>40610.45</v>
      </c>
      <c r="D110" s="49">
        <f aca="true" t="shared" si="4" ref="D110:D115">C110/B110*100</f>
        <v>32.79522359537296</v>
      </c>
    </row>
    <row r="111" spans="1:4" ht="12.75">
      <c r="A111" s="13" t="s">
        <v>39</v>
      </c>
      <c r="B111" s="14">
        <f>B115+B122</f>
        <v>44462.14</v>
      </c>
      <c r="C111" s="14">
        <f>C115+C122</f>
        <v>6112.45</v>
      </c>
      <c r="D111" s="53">
        <f t="shared" si="4"/>
        <v>13.747538917380044</v>
      </c>
    </row>
    <row r="112" spans="1:4" ht="12.75">
      <c r="A112" s="13" t="s">
        <v>41</v>
      </c>
      <c r="B112" s="14">
        <v>79368.24</v>
      </c>
      <c r="C112" s="14">
        <f>C118</f>
        <v>34498</v>
      </c>
      <c r="D112" s="53">
        <f t="shared" si="4"/>
        <v>43.465749020011025</v>
      </c>
    </row>
    <row r="113" spans="1:4" ht="12.75">
      <c r="A113" s="37" t="s">
        <v>136</v>
      </c>
      <c r="B113" s="38">
        <v>123830.38</v>
      </c>
      <c r="C113" s="38">
        <f>C114+C121</f>
        <v>40610.45</v>
      </c>
      <c r="D113" s="51">
        <f t="shared" si="4"/>
        <v>32.79522359537296</v>
      </c>
    </row>
    <row r="114" spans="1:4" ht="12.75">
      <c r="A114" s="39" t="s">
        <v>137</v>
      </c>
      <c r="B114" s="40">
        <v>121839.54</v>
      </c>
      <c r="C114" s="40">
        <f>C116+C119</f>
        <v>40610.45</v>
      </c>
      <c r="D114" s="52">
        <f t="shared" si="4"/>
        <v>33.331092681407036</v>
      </c>
    </row>
    <row r="115" spans="1:4" ht="12.75">
      <c r="A115" s="13" t="s">
        <v>39</v>
      </c>
      <c r="B115" s="14">
        <v>42471.3</v>
      </c>
      <c r="C115" s="14">
        <f>C116</f>
        <v>6112.45</v>
      </c>
      <c r="D115" s="53">
        <f t="shared" si="4"/>
        <v>14.39195409606016</v>
      </c>
    </row>
    <row r="116" spans="1:4" ht="12.75">
      <c r="A116" s="3" t="s">
        <v>62</v>
      </c>
      <c r="B116" s="3">
        <v>42471.3</v>
      </c>
      <c r="C116" s="3">
        <f>C117</f>
        <v>6112.45</v>
      </c>
      <c r="D116" s="3">
        <f aca="true" t="shared" si="5" ref="D116:D178">C116/B116*100</f>
        <v>14.39195409606016</v>
      </c>
    </row>
    <row r="117" spans="1:4" s="55" customFormat="1" ht="12.75">
      <c r="A117" s="54" t="s">
        <v>245</v>
      </c>
      <c r="B117" s="54"/>
      <c r="C117" s="54">
        <v>6112.45</v>
      </c>
      <c r="D117" s="54"/>
    </row>
    <row r="118" spans="1:4" ht="12.75">
      <c r="A118" s="13" t="s">
        <v>41</v>
      </c>
      <c r="B118" s="14">
        <v>79368.24</v>
      </c>
      <c r="C118" s="14">
        <f>C119</f>
        <v>34498</v>
      </c>
      <c r="D118" s="53">
        <f t="shared" si="5"/>
        <v>43.465749020011025</v>
      </c>
    </row>
    <row r="119" spans="1:4" ht="12.75">
      <c r="A119" s="3" t="s">
        <v>62</v>
      </c>
      <c r="B119" s="3">
        <v>79368.24</v>
      </c>
      <c r="C119" s="3">
        <f>C120</f>
        <v>34498</v>
      </c>
      <c r="D119" s="3">
        <f t="shared" si="5"/>
        <v>43.465749020011025</v>
      </c>
    </row>
    <row r="120" spans="1:4" s="55" customFormat="1" ht="12.75">
      <c r="A120" s="54" t="s">
        <v>245</v>
      </c>
      <c r="B120" s="54"/>
      <c r="C120" s="54">
        <v>34498</v>
      </c>
      <c r="D120" s="54"/>
    </row>
    <row r="121" spans="1:4" ht="12.75">
      <c r="A121" s="39" t="s">
        <v>138</v>
      </c>
      <c r="B121" s="40">
        <v>1990.84</v>
      </c>
      <c r="C121" s="40">
        <f>C123+C124</f>
        <v>0</v>
      </c>
      <c r="D121" s="52">
        <f t="shared" si="5"/>
        <v>0</v>
      </c>
    </row>
    <row r="122" spans="1:4" ht="12.75">
      <c r="A122" s="13" t="s">
        <v>39</v>
      </c>
      <c r="B122" s="14">
        <v>1990.84</v>
      </c>
      <c r="C122" s="14">
        <f>C123+C124</f>
        <v>0</v>
      </c>
      <c r="D122" s="53">
        <f t="shared" si="5"/>
        <v>0</v>
      </c>
    </row>
    <row r="123" spans="1:4" ht="12.75">
      <c r="A123" s="3" t="s">
        <v>64</v>
      </c>
      <c r="B123" s="3">
        <v>1327.23</v>
      </c>
      <c r="C123" s="3">
        <v>0</v>
      </c>
      <c r="D123" s="3">
        <f t="shared" si="5"/>
        <v>0</v>
      </c>
    </row>
    <row r="124" spans="1:4" ht="12.75">
      <c r="A124" s="3" t="s">
        <v>67</v>
      </c>
      <c r="B124" s="3">
        <v>663.61</v>
      </c>
      <c r="C124" s="3">
        <v>0</v>
      </c>
      <c r="D124" s="3">
        <f t="shared" si="5"/>
        <v>0</v>
      </c>
    </row>
    <row r="125" spans="1:4" ht="12.75">
      <c r="A125" s="35" t="s">
        <v>139</v>
      </c>
      <c r="B125" s="36">
        <v>539916.37</v>
      </c>
      <c r="C125" s="36">
        <f>C129+C178+C191</f>
        <v>340516.91000000003</v>
      </c>
      <c r="D125" s="49">
        <f t="shared" si="5"/>
        <v>63.068454471939795</v>
      </c>
    </row>
    <row r="126" spans="1:4" ht="12.75">
      <c r="A126" s="13" t="s">
        <v>39</v>
      </c>
      <c r="B126" s="14">
        <f>B131+B146+B153+B161+B180+B185+B193+B197+B203+B206</f>
        <v>261185.19999999992</v>
      </c>
      <c r="C126" s="14">
        <f>C131+C146+C153+C161+C180+C185+C193+C197+C203+C206</f>
        <v>223041.31</v>
      </c>
      <c r="D126" s="53">
        <f>C126/B126*100</f>
        <v>85.39584555327026</v>
      </c>
    </row>
    <row r="127" spans="1:4" ht="12.75">
      <c r="A127" s="13" t="s">
        <v>49</v>
      </c>
      <c r="B127" s="14">
        <f>B135+B142+B149+B157+B164+B167+B172</f>
        <v>212356.5</v>
      </c>
      <c r="C127" s="14">
        <f>C135+C142+C149+C157+C164+C167+C172</f>
        <v>93121.33999999998</v>
      </c>
      <c r="D127" s="53">
        <f>C127/B127*100</f>
        <v>43.851419664573484</v>
      </c>
    </row>
    <row r="128" spans="1:4" ht="12.75">
      <c r="A128" s="13" t="s">
        <v>47</v>
      </c>
      <c r="B128" s="14">
        <f>B139+B175</f>
        <v>66374.67</v>
      </c>
      <c r="C128" s="14">
        <f>C139+C175</f>
        <v>24354.26</v>
      </c>
      <c r="D128" s="53">
        <f>C128/B128*100</f>
        <v>36.69209956147428</v>
      </c>
    </row>
    <row r="129" spans="1:4" ht="12.75">
      <c r="A129" s="37" t="s">
        <v>140</v>
      </c>
      <c r="B129" s="38">
        <v>416484.15</v>
      </c>
      <c r="C129" s="38">
        <f>C130+C141+C145+C152+C160+C166+C171</f>
        <v>286599.96</v>
      </c>
      <c r="D129" s="51">
        <f t="shared" si="5"/>
        <v>68.81413374314485</v>
      </c>
    </row>
    <row r="130" spans="1:4" ht="12.75">
      <c r="A130" s="39" t="s">
        <v>141</v>
      </c>
      <c r="B130" s="40">
        <v>45125.75</v>
      </c>
      <c r="C130" s="40">
        <f>C132+C136+C140</f>
        <v>20031.35</v>
      </c>
      <c r="D130" s="52">
        <f t="shared" si="5"/>
        <v>44.390065539076915</v>
      </c>
    </row>
    <row r="131" spans="1:4" ht="12.75">
      <c r="A131" s="13" t="s">
        <v>39</v>
      </c>
      <c r="B131" s="14">
        <v>663.61</v>
      </c>
      <c r="C131" s="14">
        <f>C132</f>
        <v>7281.35</v>
      </c>
      <c r="D131" s="53">
        <f t="shared" si="5"/>
        <v>1097.2333147481202</v>
      </c>
    </row>
    <row r="132" spans="1:4" ht="12.75">
      <c r="A132" s="3" t="s">
        <v>59</v>
      </c>
      <c r="B132" s="3">
        <v>663.61</v>
      </c>
      <c r="C132" s="3">
        <f>C133+C134</f>
        <v>7281.35</v>
      </c>
      <c r="D132" s="3">
        <f t="shared" si="5"/>
        <v>1097.2333147481202</v>
      </c>
    </row>
    <row r="133" spans="1:4" s="55" customFormat="1" ht="12.75">
      <c r="A133" s="54" t="s">
        <v>266</v>
      </c>
      <c r="B133" s="54"/>
      <c r="C133" s="54">
        <v>7000</v>
      </c>
      <c r="D133" s="54"/>
    </row>
    <row r="134" spans="1:4" s="55" customFormat="1" ht="12.75">
      <c r="A134" s="54" t="s">
        <v>268</v>
      </c>
      <c r="B134" s="54"/>
      <c r="C134" s="54">
        <v>281.35</v>
      </c>
      <c r="D134" s="54"/>
    </row>
    <row r="135" spans="1:4" ht="12.75">
      <c r="A135" s="13" t="s">
        <v>49</v>
      </c>
      <c r="B135" s="14">
        <v>17904.31</v>
      </c>
      <c r="C135" s="14">
        <f>C136</f>
        <v>12750</v>
      </c>
      <c r="D135" s="53">
        <f t="shared" si="5"/>
        <v>71.21190372597435</v>
      </c>
    </row>
    <row r="136" spans="1:4" ht="12.75">
      <c r="A136" s="3" t="s">
        <v>59</v>
      </c>
      <c r="B136" s="3">
        <v>17904.31</v>
      </c>
      <c r="C136" s="3">
        <f>C138+C137</f>
        <v>12750</v>
      </c>
      <c r="D136" s="3">
        <f t="shared" si="5"/>
        <v>71.21190372597435</v>
      </c>
    </row>
    <row r="137" spans="1:4" s="55" customFormat="1" ht="12.75">
      <c r="A137" s="54" t="s">
        <v>266</v>
      </c>
      <c r="B137" s="54"/>
      <c r="C137" s="54">
        <v>6500</v>
      </c>
      <c r="D137" s="54"/>
    </row>
    <row r="138" spans="1:4" s="55" customFormat="1" ht="12.75">
      <c r="A138" s="54" t="s">
        <v>263</v>
      </c>
      <c r="B138" s="54"/>
      <c r="C138" s="54">
        <v>6250</v>
      </c>
      <c r="D138" s="54"/>
    </row>
    <row r="139" spans="1:4" ht="12.75">
      <c r="A139" s="13" t="s">
        <v>47</v>
      </c>
      <c r="B139" s="14">
        <v>26557.83</v>
      </c>
      <c r="C139" s="14">
        <f>C140</f>
        <v>0</v>
      </c>
      <c r="D139" s="53">
        <f t="shared" si="5"/>
        <v>0</v>
      </c>
    </row>
    <row r="140" spans="1:4" ht="12.75">
      <c r="A140" s="3" t="s">
        <v>59</v>
      </c>
      <c r="B140" s="3">
        <v>26557.83</v>
      </c>
      <c r="C140" s="3">
        <v>0</v>
      </c>
      <c r="D140" s="3">
        <f t="shared" si="5"/>
        <v>0</v>
      </c>
    </row>
    <row r="141" spans="1:4" ht="12.75">
      <c r="A141" s="39" t="s">
        <v>142</v>
      </c>
      <c r="B141" s="40">
        <v>15263.13</v>
      </c>
      <c r="C141" s="40">
        <f>C143</f>
        <v>8397.74</v>
      </c>
      <c r="D141" s="52">
        <f t="shared" si="5"/>
        <v>55.01977641545345</v>
      </c>
    </row>
    <row r="142" spans="1:4" ht="12.75">
      <c r="A142" s="13" t="s">
        <v>49</v>
      </c>
      <c r="B142" s="14">
        <v>15263.13</v>
      </c>
      <c r="C142" s="14">
        <f>C143</f>
        <v>8397.74</v>
      </c>
      <c r="D142" s="53">
        <f t="shared" si="5"/>
        <v>55.01977641545345</v>
      </c>
    </row>
    <row r="143" spans="1:4" ht="12.75">
      <c r="A143" s="3" t="s">
        <v>59</v>
      </c>
      <c r="B143" s="3">
        <v>15263.13</v>
      </c>
      <c r="C143" s="3">
        <f>C144</f>
        <v>8397.74</v>
      </c>
      <c r="D143" s="3">
        <f t="shared" si="5"/>
        <v>55.01977641545345</v>
      </c>
    </row>
    <row r="144" spans="1:4" s="55" customFormat="1" ht="12.75">
      <c r="A144" s="54" t="s">
        <v>263</v>
      </c>
      <c r="B144" s="54"/>
      <c r="C144" s="54">
        <v>8397.74</v>
      </c>
      <c r="D144" s="54"/>
    </row>
    <row r="145" spans="1:4" ht="12.75">
      <c r="A145" s="39" t="s">
        <v>143</v>
      </c>
      <c r="B145" s="40">
        <v>265445.61</v>
      </c>
      <c r="C145" s="40">
        <f>C147+C150</f>
        <v>208077.48</v>
      </c>
      <c r="D145" s="52">
        <f t="shared" si="5"/>
        <v>78.38799066972703</v>
      </c>
    </row>
    <row r="146" spans="1:4" ht="12.75">
      <c r="A146" s="13" t="s">
        <v>39</v>
      </c>
      <c r="B146" s="14">
        <v>131382.3</v>
      </c>
      <c r="C146" s="14">
        <f>C147</f>
        <v>143727.48</v>
      </c>
      <c r="D146" s="53">
        <f t="shared" si="5"/>
        <v>109.39637987765478</v>
      </c>
    </row>
    <row r="147" spans="1:4" ht="12.75">
      <c r="A147" s="3" t="s">
        <v>59</v>
      </c>
      <c r="B147" s="3">
        <v>131382.3</v>
      </c>
      <c r="C147" s="3">
        <f>C148</f>
        <v>143727.48</v>
      </c>
      <c r="D147" s="3">
        <f t="shared" si="5"/>
        <v>109.39637987765478</v>
      </c>
    </row>
    <row r="148" spans="1:4" s="55" customFormat="1" ht="12.75">
      <c r="A148" s="54" t="s">
        <v>263</v>
      </c>
      <c r="B148" s="54"/>
      <c r="C148" s="54">
        <v>143727.48</v>
      </c>
      <c r="D148" s="54"/>
    </row>
    <row r="149" spans="1:4" ht="12.75">
      <c r="A149" s="13" t="s">
        <v>49</v>
      </c>
      <c r="B149" s="14">
        <v>134063.31</v>
      </c>
      <c r="C149" s="14">
        <f>C150</f>
        <v>64350</v>
      </c>
      <c r="D149" s="53">
        <f t="shared" si="5"/>
        <v>47.999709987766224</v>
      </c>
    </row>
    <row r="150" spans="1:4" ht="12.75">
      <c r="A150" s="3" t="s">
        <v>59</v>
      </c>
      <c r="B150" s="3">
        <v>134063.31</v>
      </c>
      <c r="C150" s="3">
        <f>C151</f>
        <v>64350</v>
      </c>
      <c r="D150" s="3">
        <f t="shared" si="5"/>
        <v>47.999709987766224</v>
      </c>
    </row>
    <row r="151" spans="1:4" s="55" customFormat="1" ht="12.75">
      <c r="A151" s="54" t="s">
        <v>263</v>
      </c>
      <c r="B151" s="54"/>
      <c r="C151" s="54">
        <v>64350</v>
      </c>
      <c r="D151" s="54"/>
    </row>
    <row r="152" spans="1:4" ht="12.75">
      <c r="A152" s="39" t="s">
        <v>144</v>
      </c>
      <c r="B152" s="40">
        <v>14599.49</v>
      </c>
      <c r="C152" s="40">
        <f>C154+C158</f>
        <v>18664.75</v>
      </c>
      <c r="D152" s="52">
        <f t="shared" si="5"/>
        <v>127.84521925080945</v>
      </c>
    </row>
    <row r="153" spans="1:4" ht="12.75">
      <c r="A153" s="13" t="s">
        <v>39</v>
      </c>
      <c r="B153" s="14">
        <v>1990.83</v>
      </c>
      <c r="C153" s="14">
        <f>C154</f>
        <v>16959.21</v>
      </c>
      <c r="D153" s="53">
        <f t="shared" si="5"/>
        <v>851.866307017676</v>
      </c>
    </row>
    <row r="154" spans="1:4" ht="12.75">
      <c r="A154" s="3" t="s">
        <v>59</v>
      </c>
      <c r="B154" s="3">
        <v>1990.83</v>
      </c>
      <c r="C154" s="3">
        <f>C156+C155</f>
        <v>16959.21</v>
      </c>
      <c r="D154" s="3">
        <f t="shared" si="5"/>
        <v>851.866307017676</v>
      </c>
    </row>
    <row r="155" spans="1:4" s="55" customFormat="1" ht="12.75">
      <c r="A155" s="54" t="s">
        <v>268</v>
      </c>
      <c r="B155" s="54"/>
      <c r="C155" s="54">
        <v>1714.38</v>
      </c>
      <c r="D155" s="54"/>
    </row>
    <row r="156" spans="1:4" s="55" customFormat="1" ht="12.75">
      <c r="A156" s="54" t="s">
        <v>266</v>
      </c>
      <c r="B156" s="54"/>
      <c r="C156" s="54">
        <v>15244.83</v>
      </c>
      <c r="D156" s="54"/>
    </row>
    <row r="157" spans="1:4" ht="12.75">
      <c r="A157" s="13" t="s">
        <v>49</v>
      </c>
      <c r="B157" s="14">
        <v>12608.66</v>
      </c>
      <c r="C157" s="14">
        <f>C158</f>
        <v>1705.54</v>
      </c>
      <c r="D157" s="53">
        <f t="shared" si="5"/>
        <v>13.526734799732882</v>
      </c>
    </row>
    <row r="158" spans="1:4" ht="12.75">
      <c r="A158" s="3" t="s">
        <v>59</v>
      </c>
      <c r="B158" s="3">
        <v>12608.66</v>
      </c>
      <c r="C158" s="3">
        <f>C159</f>
        <v>1705.54</v>
      </c>
      <c r="D158" s="3">
        <f t="shared" si="5"/>
        <v>13.526734799732882</v>
      </c>
    </row>
    <row r="159" spans="1:4" s="55" customFormat="1" ht="12.75">
      <c r="A159" s="54" t="s">
        <v>266</v>
      </c>
      <c r="B159" s="54"/>
      <c r="C159" s="54">
        <v>1705.54</v>
      </c>
      <c r="D159" s="54"/>
    </row>
    <row r="160" spans="1:4" ht="12.75">
      <c r="A160" s="39" t="s">
        <v>145</v>
      </c>
      <c r="B160" s="40">
        <v>6370.7</v>
      </c>
      <c r="C160" s="40">
        <f>C162+C165</f>
        <v>1156.32</v>
      </c>
      <c r="D160" s="52">
        <f t="shared" si="5"/>
        <v>18.150595695920384</v>
      </c>
    </row>
    <row r="161" spans="1:4" ht="12.75">
      <c r="A161" s="13" t="s">
        <v>39</v>
      </c>
      <c r="B161" s="14">
        <v>3716.24</v>
      </c>
      <c r="C161" s="14">
        <f>C162</f>
        <v>1156.32</v>
      </c>
      <c r="D161" s="53">
        <f t="shared" si="5"/>
        <v>31.115320861946483</v>
      </c>
    </row>
    <row r="162" spans="1:4" ht="12.75">
      <c r="A162" s="3" t="s">
        <v>59</v>
      </c>
      <c r="B162" s="3">
        <v>3716.24</v>
      </c>
      <c r="C162" s="3">
        <f>C163</f>
        <v>1156.32</v>
      </c>
      <c r="D162" s="3">
        <f t="shared" si="5"/>
        <v>31.115320861946483</v>
      </c>
    </row>
    <row r="163" spans="1:4" s="55" customFormat="1" ht="12.75">
      <c r="A163" s="54" t="s">
        <v>267</v>
      </c>
      <c r="B163" s="54"/>
      <c r="C163" s="54">
        <v>1156.32</v>
      </c>
      <c r="D163" s="54"/>
    </row>
    <row r="164" spans="1:4" ht="12.75">
      <c r="A164" s="13" t="s">
        <v>49</v>
      </c>
      <c r="B164" s="14">
        <v>2654.46</v>
      </c>
      <c r="C164" s="14">
        <f>C165</f>
        <v>0</v>
      </c>
      <c r="D164" s="53">
        <f t="shared" si="5"/>
        <v>0</v>
      </c>
    </row>
    <row r="165" spans="1:4" ht="12.75">
      <c r="A165" s="3" t="s">
        <v>59</v>
      </c>
      <c r="B165" s="3">
        <v>2654.46</v>
      </c>
      <c r="C165" s="3">
        <v>0</v>
      </c>
      <c r="D165" s="3">
        <f t="shared" si="5"/>
        <v>0</v>
      </c>
    </row>
    <row r="166" spans="1:4" ht="12.75">
      <c r="A166" s="39" t="s">
        <v>146</v>
      </c>
      <c r="B166" s="40">
        <v>3318.07</v>
      </c>
      <c r="C166" s="40">
        <f>C167</f>
        <v>2561.41</v>
      </c>
      <c r="D166" s="52">
        <f t="shared" si="5"/>
        <v>77.19577947421242</v>
      </c>
    </row>
    <row r="167" spans="1:4" ht="12.75">
      <c r="A167" s="13" t="s">
        <v>49</v>
      </c>
      <c r="B167" s="14">
        <v>3318.07</v>
      </c>
      <c r="C167" s="14">
        <f>C168</f>
        <v>2561.41</v>
      </c>
      <c r="D167" s="53">
        <f t="shared" si="5"/>
        <v>77.19577947421242</v>
      </c>
    </row>
    <row r="168" spans="1:4" ht="12.75">
      <c r="A168" s="3" t="s">
        <v>59</v>
      </c>
      <c r="B168" s="3">
        <v>3318.07</v>
      </c>
      <c r="C168" s="3">
        <f>C170+C169</f>
        <v>2561.41</v>
      </c>
      <c r="D168" s="3">
        <f t="shared" si="5"/>
        <v>77.19577947421242</v>
      </c>
    </row>
    <row r="169" spans="1:4" s="55" customFormat="1" ht="12.75">
      <c r="A169" s="54" t="s">
        <v>266</v>
      </c>
      <c r="B169" s="54"/>
      <c r="C169" s="54">
        <v>1207.71</v>
      </c>
      <c r="D169" s="54"/>
    </row>
    <row r="170" spans="1:4" s="55" customFormat="1" ht="12.75">
      <c r="A170" s="54" t="s">
        <v>263</v>
      </c>
      <c r="B170" s="54"/>
      <c r="C170" s="54">
        <v>1353.7</v>
      </c>
      <c r="D170" s="54"/>
    </row>
    <row r="171" spans="1:4" ht="12.75">
      <c r="A171" s="39" t="s">
        <v>147</v>
      </c>
      <c r="B171" s="40">
        <v>66361.4</v>
      </c>
      <c r="C171" s="40">
        <f>C173+C176</f>
        <v>27710.91</v>
      </c>
      <c r="D171" s="52">
        <f t="shared" si="5"/>
        <v>41.75757292643013</v>
      </c>
    </row>
    <row r="172" spans="1:4" ht="12.75">
      <c r="A172" s="13" t="s">
        <v>49</v>
      </c>
      <c r="B172" s="14">
        <v>26544.56</v>
      </c>
      <c r="C172" s="14">
        <f>C173</f>
        <v>3356.65</v>
      </c>
      <c r="D172" s="53">
        <f t="shared" si="5"/>
        <v>12.645340514214586</v>
      </c>
    </row>
    <row r="173" spans="1:4" ht="12.75">
      <c r="A173" s="3" t="s">
        <v>59</v>
      </c>
      <c r="B173" s="3">
        <v>26544.56</v>
      </c>
      <c r="C173" s="3">
        <f>C174</f>
        <v>3356.65</v>
      </c>
      <c r="D173" s="3">
        <f t="shared" si="5"/>
        <v>12.645340514214586</v>
      </c>
    </row>
    <row r="174" spans="1:4" s="55" customFormat="1" ht="12.75">
      <c r="A174" s="54" t="s">
        <v>266</v>
      </c>
      <c r="B174" s="54"/>
      <c r="C174" s="54">
        <v>3356.65</v>
      </c>
      <c r="D174" s="54"/>
    </row>
    <row r="175" spans="1:4" ht="12.75">
      <c r="A175" s="13" t="s">
        <v>47</v>
      </c>
      <c r="B175" s="14">
        <v>39816.84</v>
      </c>
      <c r="C175" s="14">
        <f>C176</f>
        <v>24354.26</v>
      </c>
      <c r="D175" s="53">
        <f t="shared" si="5"/>
        <v>61.16572786790715</v>
      </c>
    </row>
    <row r="176" spans="1:4" ht="12.75">
      <c r="A176" s="3" t="s">
        <v>59</v>
      </c>
      <c r="B176" s="3">
        <v>39816.84</v>
      </c>
      <c r="C176" s="3">
        <f>C177</f>
        <v>24354.26</v>
      </c>
      <c r="D176" s="3">
        <f t="shared" si="5"/>
        <v>61.16572786790715</v>
      </c>
    </row>
    <row r="177" spans="1:4" s="55" customFormat="1" ht="12.75">
      <c r="A177" s="54" t="s">
        <v>270</v>
      </c>
      <c r="B177" s="54"/>
      <c r="C177" s="54">
        <v>24354.26</v>
      </c>
      <c r="D177" s="54"/>
    </row>
    <row r="178" spans="1:4" ht="12.75">
      <c r="A178" s="37" t="s">
        <v>148</v>
      </c>
      <c r="B178" s="38">
        <v>18581.2</v>
      </c>
      <c r="C178" s="38">
        <f>C179+C184</f>
        <v>25275.08</v>
      </c>
      <c r="D178" s="51">
        <f t="shared" si="5"/>
        <v>136.0250145308161</v>
      </c>
    </row>
    <row r="179" spans="1:4" ht="12.75">
      <c r="A179" s="39" t="s">
        <v>149</v>
      </c>
      <c r="B179" s="40">
        <v>6636.15</v>
      </c>
      <c r="C179" s="40">
        <f>C181</f>
        <v>6266.83</v>
      </c>
      <c r="D179" s="52">
        <f aca="true" t="shared" si="6" ref="D179:D223">C179/B179*100</f>
        <v>94.43472495347453</v>
      </c>
    </row>
    <row r="180" spans="1:4" ht="12.75">
      <c r="A180" s="13" t="s">
        <v>39</v>
      </c>
      <c r="B180" s="14">
        <v>6636.15</v>
      </c>
      <c r="C180" s="14">
        <f>C181</f>
        <v>6266.83</v>
      </c>
      <c r="D180" s="53">
        <f t="shared" si="6"/>
        <v>94.43472495347453</v>
      </c>
    </row>
    <row r="181" spans="1:4" ht="12.75">
      <c r="A181" s="3" t="s">
        <v>59</v>
      </c>
      <c r="B181" s="3">
        <v>6636.15</v>
      </c>
      <c r="C181" s="3">
        <f>C183+C182</f>
        <v>6266.83</v>
      </c>
      <c r="D181" s="3">
        <f t="shared" si="6"/>
        <v>94.43472495347453</v>
      </c>
    </row>
    <row r="182" spans="1:4" s="55" customFormat="1" ht="12.75">
      <c r="A182" s="54" t="s">
        <v>270</v>
      </c>
      <c r="B182" s="54"/>
      <c r="C182" s="54">
        <v>5973.24</v>
      </c>
      <c r="D182" s="54"/>
    </row>
    <row r="183" spans="1:4" s="55" customFormat="1" ht="12.75">
      <c r="A183" s="54" t="s">
        <v>263</v>
      </c>
      <c r="B183" s="54"/>
      <c r="C183" s="54">
        <v>293.59</v>
      </c>
      <c r="D183" s="54"/>
    </row>
    <row r="184" spans="1:4" ht="12.75">
      <c r="A184" s="39" t="s">
        <v>150</v>
      </c>
      <c r="B184" s="40">
        <v>11945.05</v>
      </c>
      <c r="C184" s="40">
        <f>C186+C189</f>
        <v>19008.25</v>
      </c>
      <c r="D184" s="52">
        <f t="shared" si="6"/>
        <v>159.13076964935266</v>
      </c>
    </row>
    <row r="185" spans="1:4" ht="12.75">
      <c r="A185" s="13" t="s">
        <v>39</v>
      </c>
      <c r="B185" s="14">
        <v>11945.05</v>
      </c>
      <c r="C185" s="14">
        <f>C186+C189</f>
        <v>19008.25</v>
      </c>
      <c r="D185" s="53">
        <f t="shared" si="6"/>
        <v>159.13076964935266</v>
      </c>
    </row>
    <row r="186" spans="1:4" ht="12.75">
      <c r="A186" s="3" t="s">
        <v>59</v>
      </c>
      <c r="B186" s="3">
        <v>6636.14</v>
      </c>
      <c r="C186" s="3">
        <f>C188+C187</f>
        <v>8802.820000000002</v>
      </c>
      <c r="D186" s="3">
        <f t="shared" si="6"/>
        <v>132.6497029899912</v>
      </c>
    </row>
    <row r="187" spans="1:4" s="55" customFormat="1" ht="12.75">
      <c r="A187" s="54" t="s">
        <v>266</v>
      </c>
      <c r="B187" s="54"/>
      <c r="C187" s="54">
        <v>8252.04</v>
      </c>
      <c r="D187" s="54"/>
    </row>
    <row r="188" spans="1:4" s="55" customFormat="1" ht="12.75">
      <c r="A188" s="54" t="s">
        <v>263</v>
      </c>
      <c r="B188" s="54"/>
      <c r="C188" s="54">
        <v>550.78</v>
      </c>
      <c r="D188" s="54"/>
    </row>
    <row r="189" spans="1:4" ht="12.75">
      <c r="A189" s="3" t="s">
        <v>67</v>
      </c>
      <c r="B189" s="3">
        <v>5308.91</v>
      </c>
      <c r="C189" s="3">
        <f>C190</f>
        <v>10205.43</v>
      </c>
      <c r="D189" s="3">
        <f t="shared" si="6"/>
        <v>192.2321154436598</v>
      </c>
    </row>
    <row r="190" spans="1:4" s="55" customFormat="1" ht="12.75">
      <c r="A190" s="54" t="s">
        <v>236</v>
      </c>
      <c r="B190" s="54"/>
      <c r="C190" s="54">
        <v>10205.43</v>
      </c>
      <c r="D190" s="54"/>
    </row>
    <row r="191" spans="1:4" ht="12.75">
      <c r="A191" s="37" t="s">
        <v>151</v>
      </c>
      <c r="B191" s="38">
        <v>104851.02</v>
      </c>
      <c r="C191" s="38">
        <f>C192+C196+C202+C205</f>
        <v>28641.87</v>
      </c>
      <c r="D191" s="51">
        <f t="shared" si="6"/>
        <v>27.31672996600319</v>
      </c>
    </row>
    <row r="192" spans="1:4" ht="12.75">
      <c r="A192" s="39" t="s">
        <v>152</v>
      </c>
      <c r="B192" s="40">
        <v>14599.51</v>
      </c>
      <c r="C192" s="40">
        <f>C194</f>
        <v>9675</v>
      </c>
      <c r="D192" s="52">
        <f t="shared" si="6"/>
        <v>66.26934739590575</v>
      </c>
    </row>
    <row r="193" spans="1:4" ht="12.75">
      <c r="A193" s="13" t="s">
        <v>39</v>
      </c>
      <c r="B193" s="14">
        <v>14599.51</v>
      </c>
      <c r="C193" s="14">
        <f>C194</f>
        <v>9675</v>
      </c>
      <c r="D193" s="53">
        <f t="shared" si="6"/>
        <v>66.26934739590575</v>
      </c>
    </row>
    <row r="194" spans="1:4" ht="12.75">
      <c r="A194" s="3" t="s">
        <v>59</v>
      </c>
      <c r="B194" s="3">
        <v>14599.51</v>
      </c>
      <c r="C194" s="3">
        <f>C195</f>
        <v>9675</v>
      </c>
      <c r="D194" s="3">
        <f t="shared" si="6"/>
        <v>66.26934739590575</v>
      </c>
    </row>
    <row r="195" spans="1:4" s="55" customFormat="1" ht="12.75">
      <c r="A195" s="54" t="s">
        <v>263</v>
      </c>
      <c r="B195" s="54"/>
      <c r="C195" s="54">
        <v>9675</v>
      </c>
      <c r="D195" s="54"/>
    </row>
    <row r="196" spans="1:4" ht="12.75">
      <c r="A196" s="39" t="s">
        <v>153</v>
      </c>
      <c r="B196" s="40">
        <v>76315.62</v>
      </c>
      <c r="C196" s="40">
        <f>C198+C201</f>
        <v>18966.87</v>
      </c>
      <c r="D196" s="52">
        <f t="shared" si="6"/>
        <v>24.85319519123346</v>
      </c>
    </row>
    <row r="197" spans="1:4" ht="12.75">
      <c r="A197" s="13" t="s">
        <v>39</v>
      </c>
      <c r="B197" s="14">
        <v>76315.62</v>
      </c>
      <c r="C197" s="14">
        <f>C198+C201</f>
        <v>18966.87</v>
      </c>
      <c r="D197" s="53">
        <f t="shared" si="6"/>
        <v>24.85319519123346</v>
      </c>
    </row>
    <row r="198" spans="1:4" ht="12.75">
      <c r="A198" s="3" t="s">
        <v>59</v>
      </c>
      <c r="B198" s="3">
        <v>73661.16</v>
      </c>
      <c r="C198" s="3">
        <f>C200+C199</f>
        <v>18966.87</v>
      </c>
      <c r="D198" s="3">
        <f t="shared" si="6"/>
        <v>25.748807105399912</v>
      </c>
    </row>
    <row r="199" spans="1:4" s="55" customFormat="1" ht="12.75">
      <c r="A199" s="54" t="s">
        <v>263</v>
      </c>
      <c r="B199" s="54"/>
      <c r="C199" s="54">
        <v>10838.31</v>
      </c>
      <c r="D199" s="54"/>
    </row>
    <row r="200" spans="1:4" s="55" customFormat="1" ht="12.75">
      <c r="A200" s="54" t="s">
        <v>262</v>
      </c>
      <c r="B200" s="54"/>
      <c r="C200" s="54">
        <v>8128.56</v>
      </c>
      <c r="D200" s="54"/>
    </row>
    <row r="201" spans="1:4" ht="12.75">
      <c r="A201" s="3" t="s">
        <v>67</v>
      </c>
      <c r="B201" s="3">
        <v>2654.46</v>
      </c>
      <c r="C201" s="3">
        <v>0</v>
      </c>
      <c r="D201" s="3">
        <f t="shared" si="6"/>
        <v>0</v>
      </c>
    </row>
    <row r="202" spans="1:4" ht="12.75">
      <c r="A202" s="39" t="s">
        <v>154</v>
      </c>
      <c r="B202" s="40">
        <v>13272.28</v>
      </c>
      <c r="C202" s="40">
        <f>C204</f>
        <v>0</v>
      </c>
      <c r="D202" s="52">
        <f t="shared" si="6"/>
        <v>0</v>
      </c>
    </row>
    <row r="203" spans="1:4" ht="12.75">
      <c r="A203" s="13" t="s">
        <v>39</v>
      </c>
      <c r="B203" s="14">
        <v>13272.28</v>
      </c>
      <c r="C203" s="14">
        <f>C204</f>
        <v>0</v>
      </c>
      <c r="D203" s="53">
        <f t="shared" si="6"/>
        <v>0</v>
      </c>
    </row>
    <row r="204" spans="1:4" ht="12.75">
      <c r="A204" s="3" t="s">
        <v>59</v>
      </c>
      <c r="B204" s="3">
        <v>13272.28</v>
      </c>
      <c r="C204" s="3">
        <v>0</v>
      </c>
      <c r="D204" s="3">
        <f t="shared" si="6"/>
        <v>0</v>
      </c>
    </row>
    <row r="205" spans="1:4" ht="12.75">
      <c r="A205" s="39" t="s">
        <v>155</v>
      </c>
      <c r="B205" s="40">
        <v>663.61</v>
      </c>
      <c r="C205" s="40">
        <f>C207</f>
        <v>0</v>
      </c>
      <c r="D205" s="52">
        <f t="shared" si="6"/>
        <v>0</v>
      </c>
    </row>
    <row r="206" spans="1:4" ht="12.75">
      <c r="A206" s="13" t="s">
        <v>39</v>
      </c>
      <c r="B206" s="14">
        <v>663.61</v>
      </c>
      <c r="C206" s="14">
        <f>C207</f>
        <v>0</v>
      </c>
      <c r="D206" s="53">
        <f t="shared" si="6"/>
        <v>0</v>
      </c>
    </row>
    <row r="207" spans="1:4" ht="12.75">
      <c r="A207" s="3" t="s">
        <v>59</v>
      </c>
      <c r="B207" s="3">
        <v>663.61</v>
      </c>
      <c r="C207" s="3">
        <v>0</v>
      </c>
      <c r="D207" s="3">
        <f t="shared" si="6"/>
        <v>0</v>
      </c>
    </row>
    <row r="208" spans="1:4" ht="12.75">
      <c r="A208" s="35" t="s">
        <v>156</v>
      </c>
      <c r="B208" s="36">
        <v>764483.36</v>
      </c>
      <c r="C208" s="36">
        <f>C215+C243+C267</f>
        <v>115201.49</v>
      </c>
      <c r="D208" s="49">
        <f t="shared" si="6"/>
        <v>15.069195227480165</v>
      </c>
    </row>
    <row r="209" spans="1:4" ht="12.75">
      <c r="A209" s="13" t="s">
        <v>39</v>
      </c>
      <c r="B209" s="14">
        <f>B217+B228+B248+B272</f>
        <v>240228.27</v>
      </c>
      <c r="C209" s="14">
        <f>C217+C228+C248+C272</f>
        <v>95507.73</v>
      </c>
      <c r="D209" s="53">
        <f aca="true" t="shared" si="7" ref="D209:D214">C209/B209*100</f>
        <v>39.757073553416504</v>
      </c>
    </row>
    <row r="210" spans="1:4" ht="12.75">
      <c r="A210" s="13" t="s">
        <v>46</v>
      </c>
      <c r="B210" s="14">
        <f>B219</f>
        <v>6636.14</v>
      </c>
      <c r="C210" s="14">
        <f>C219</f>
        <v>0</v>
      </c>
      <c r="D210" s="53">
        <f t="shared" si="7"/>
        <v>0</v>
      </c>
    </row>
    <row r="211" spans="1:4" ht="12.75">
      <c r="A211" s="13" t="s">
        <v>49</v>
      </c>
      <c r="B211" s="14">
        <f>B221+B225+B231+B241</f>
        <v>364987.7200000001</v>
      </c>
      <c r="C211" s="14">
        <f>C221+C231+C225+C241</f>
        <v>9116.81</v>
      </c>
      <c r="D211" s="53">
        <f t="shared" si="7"/>
        <v>2.49784020130869</v>
      </c>
    </row>
    <row r="212" spans="1:4" ht="12.75">
      <c r="A212" s="13" t="s">
        <v>47</v>
      </c>
      <c r="B212" s="14">
        <f>B235+B245+B269</f>
        <v>46452.98</v>
      </c>
      <c r="C212" s="14">
        <f>C235+C245+C269</f>
        <v>8757.62</v>
      </c>
      <c r="D212" s="53">
        <f t="shared" si="7"/>
        <v>18.852654878115462</v>
      </c>
    </row>
    <row r="213" spans="1:4" ht="12.75">
      <c r="A213" s="13" t="s">
        <v>42</v>
      </c>
      <c r="B213" s="14">
        <f>B238</f>
        <v>53089.12</v>
      </c>
      <c r="C213" s="14">
        <f>C238</f>
        <v>0</v>
      </c>
      <c r="D213" s="53">
        <f t="shared" si="7"/>
        <v>0</v>
      </c>
    </row>
    <row r="214" spans="1:4" ht="12.75">
      <c r="A214" s="13" t="s">
        <v>55</v>
      </c>
      <c r="B214" s="14">
        <f>B252+B256+B259+B262+B265</f>
        <v>53089.130000000005</v>
      </c>
      <c r="C214" s="14">
        <f>C252+C256+C259+C262+C265</f>
        <v>1819.33</v>
      </c>
      <c r="D214" s="53">
        <f t="shared" si="7"/>
        <v>3.426935043011629</v>
      </c>
    </row>
    <row r="215" spans="1:4" ht="12.75">
      <c r="A215" s="37" t="s">
        <v>157</v>
      </c>
      <c r="B215" s="38">
        <v>537527.36</v>
      </c>
      <c r="C215" s="38">
        <f>C216+C224+C227+C240</f>
        <v>75618</v>
      </c>
      <c r="D215" s="51">
        <f t="shared" si="6"/>
        <v>14.067749035137487</v>
      </c>
    </row>
    <row r="216" spans="1:4" ht="12.75">
      <c r="A216" s="39" t="s">
        <v>158</v>
      </c>
      <c r="B216" s="40">
        <v>159267.36</v>
      </c>
      <c r="C216" s="40">
        <f>C218+C220+C222+C223</f>
        <v>0</v>
      </c>
      <c r="D216" s="52">
        <f t="shared" si="6"/>
        <v>0</v>
      </c>
    </row>
    <row r="217" spans="1:4" ht="12.75">
      <c r="A217" s="13" t="s">
        <v>39</v>
      </c>
      <c r="B217" s="14">
        <v>66361.4</v>
      </c>
      <c r="C217" s="14">
        <f>C218</f>
        <v>0</v>
      </c>
      <c r="D217" s="53">
        <f t="shared" si="6"/>
        <v>0</v>
      </c>
    </row>
    <row r="218" spans="1:4" ht="12.75">
      <c r="A218" s="3" t="s">
        <v>67</v>
      </c>
      <c r="B218" s="3">
        <v>66361.4</v>
      </c>
      <c r="C218" s="3">
        <v>0</v>
      </c>
      <c r="D218" s="3">
        <f t="shared" si="6"/>
        <v>0</v>
      </c>
    </row>
    <row r="219" spans="1:4" ht="12.75">
      <c r="A219" s="13" t="s">
        <v>46</v>
      </c>
      <c r="B219" s="14">
        <v>6636.14</v>
      </c>
      <c r="C219" s="14">
        <f>C220</f>
        <v>0</v>
      </c>
      <c r="D219" s="53">
        <f t="shared" si="6"/>
        <v>0</v>
      </c>
    </row>
    <row r="220" spans="1:4" ht="12.75">
      <c r="A220" s="3" t="s">
        <v>67</v>
      </c>
      <c r="B220" s="3">
        <v>6636.14</v>
      </c>
      <c r="C220" s="3">
        <v>0</v>
      </c>
      <c r="D220" s="3">
        <f t="shared" si="6"/>
        <v>0</v>
      </c>
    </row>
    <row r="221" spans="1:4" ht="12.75">
      <c r="A221" s="13" t="s">
        <v>49</v>
      </c>
      <c r="B221" s="14">
        <v>86269.82</v>
      </c>
      <c r="C221" s="14">
        <f>C222+C223</f>
        <v>0</v>
      </c>
      <c r="D221" s="53">
        <f t="shared" si="6"/>
        <v>0</v>
      </c>
    </row>
    <row r="222" spans="1:4" ht="12.75">
      <c r="A222" s="3" t="s">
        <v>66</v>
      </c>
      <c r="B222" s="3">
        <v>26544.56</v>
      </c>
      <c r="C222" s="3">
        <v>0</v>
      </c>
      <c r="D222" s="3">
        <f t="shared" si="6"/>
        <v>0</v>
      </c>
    </row>
    <row r="223" spans="1:4" ht="12.75">
      <c r="A223" s="3" t="s">
        <v>67</v>
      </c>
      <c r="B223" s="3">
        <v>59725.26</v>
      </c>
      <c r="C223" s="3">
        <v>0</v>
      </c>
      <c r="D223" s="3">
        <f t="shared" si="6"/>
        <v>0</v>
      </c>
    </row>
    <row r="224" spans="1:4" ht="12.75">
      <c r="A224" s="39" t="s">
        <v>159</v>
      </c>
      <c r="B224" s="40">
        <v>112814.39</v>
      </c>
      <c r="C224" s="40">
        <f>C226</f>
        <v>0</v>
      </c>
      <c r="D224" s="52">
        <f aca="true" t="shared" si="8" ref="D224:D260">C224/B224*100</f>
        <v>0</v>
      </c>
    </row>
    <row r="225" spans="1:4" ht="12.75">
      <c r="A225" s="13" t="s">
        <v>49</v>
      </c>
      <c r="B225" s="14">
        <v>112814.39</v>
      </c>
      <c r="C225" s="14">
        <f>C226</f>
        <v>0</v>
      </c>
      <c r="D225" s="53">
        <f t="shared" si="8"/>
        <v>0</v>
      </c>
    </row>
    <row r="226" spans="1:4" ht="12.75">
      <c r="A226" s="3" t="s">
        <v>67</v>
      </c>
      <c r="B226" s="3">
        <v>112814.39</v>
      </c>
      <c r="C226" s="3">
        <v>0</v>
      </c>
      <c r="D226" s="3">
        <f t="shared" si="8"/>
        <v>0</v>
      </c>
    </row>
    <row r="227" spans="1:4" ht="12.75">
      <c r="A227" s="39" t="s">
        <v>160</v>
      </c>
      <c r="B227" s="40">
        <v>252173.33</v>
      </c>
      <c r="C227" s="40">
        <f>C229+C232+C233+C236+C239</f>
        <v>75618</v>
      </c>
      <c r="D227" s="52">
        <f t="shared" si="8"/>
        <v>29.98651760675881</v>
      </c>
    </row>
    <row r="228" spans="1:4" ht="12.75">
      <c r="A228" s="13" t="s">
        <v>39</v>
      </c>
      <c r="B228" s="14">
        <v>39816.84</v>
      </c>
      <c r="C228" s="14">
        <f>C229</f>
        <v>57743.57</v>
      </c>
      <c r="D228" s="53">
        <f t="shared" si="8"/>
        <v>145.02298524945726</v>
      </c>
    </row>
    <row r="229" spans="1:4" ht="12.75">
      <c r="A229" s="3" t="s">
        <v>69</v>
      </c>
      <c r="B229" s="3">
        <v>39816.84</v>
      </c>
      <c r="C229" s="3">
        <f>C230</f>
        <v>57743.57</v>
      </c>
      <c r="D229" s="3">
        <f t="shared" si="8"/>
        <v>145.02298524945726</v>
      </c>
    </row>
    <row r="230" spans="1:4" s="55" customFormat="1" ht="12.75">
      <c r="A230" s="54" t="s">
        <v>238</v>
      </c>
      <c r="B230" s="54"/>
      <c r="C230" s="54">
        <v>57743.57</v>
      </c>
      <c r="D230" s="54"/>
    </row>
    <row r="231" spans="1:4" ht="12.75">
      <c r="A231" s="13" t="s">
        <v>49</v>
      </c>
      <c r="B231" s="14">
        <v>152631.23</v>
      </c>
      <c r="C231" s="14">
        <f>C232+C233</f>
        <v>9116.81</v>
      </c>
      <c r="D231" s="53">
        <f t="shared" si="8"/>
        <v>5.97309606952653</v>
      </c>
    </row>
    <row r="232" spans="1:4" ht="12.75">
      <c r="A232" s="3" t="s">
        <v>67</v>
      </c>
      <c r="B232" s="3">
        <v>39816.84</v>
      </c>
      <c r="C232" s="3">
        <v>0</v>
      </c>
      <c r="D232" s="3">
        <f t="shared" si="8"/>
        <v>0</v>
      </c>
    </row>
    <row r="233" spans="1:4" ht="12.75">
      <c r="A233" s="3" t="s">
        <v>69</v>
      </c>
      <c r="B233" s="3">
        <v>112814.39</v>
      </c>
      <c r="C233" s="3">
        <f>C234</f>
        <v>9116.81</v>
      </c>
      <c r="D233" s="3">
        <f t="shared" si="8"/>
        <v>8.081247436608043</v>
      </c>
    </row>
    <row r="234" spans="1:4" s="55" customFormat="1" ht="12.75">
      <c r="A234" s="54" t="s">
        <v>238</v>
      </c>
      <c r="B234" s="54"/>
      <c r="C234" s="54">
        <v>9116.81</v>
      </c>
      <c r="D234" s="54"/>
    </row>
    <row r="235" spans="1:4" ht="12.75">
      <c r="A235" s="13" t="s">
        <v>47</v>
      </c>
      <c r="B235" s="14">
        <v>6636.14</v>
      </c>
      <c r="C235" s="14">
        <f>C236</f>
        <v>8757.62</v>
      </c>
      <c r="D235" s="53">
        <f t="shared" si="8"/>
        <v>131.96858414680824</v>
      </c>
    </row>
    <row r="236" spans="1:4" ht="12.75">
      <c r="A236" s="3" t="s">
        <v>69</v>
      </c>
      <c r="B236" s="3">
        <v>6636.14</v>
      </c>
      <c r="C236" s="3">
        <f>C237</f>
        <v>8757.62</v>
      </c>
      <c r="D236" s="3">
        <f t="shared" si="8"/>
        <v>131.96858414680824</v>
      </c>
    </row>
    <row r="237" spans="1:4" s="55" customFormat="1" ht="12.75">
      <c r="A237" s="54" t="s">
        <v>238</v>
      </c>
      <c r="B237" s="54"/>
      <c r="C237" s="54">
        <v>8757.62</v>
      </c>
      <c r="D237" s="54"/>
    </row>
    <row r="238" spans="1:4" ht="12.75">
      <c r="A238" s="13" t="s">
        <v>42</v>
      </c>
      <c r="B238" s="14">
        <v>53089.12</v>
      </c>
      <c r="C238" s="14">
        <f>C239</f>
        <v>0</v>
      </c>
      <c r="D238" s="53">
        <f t="shared" si="8"/>
        <v>0</v>
      </c>
    </row>
    <row r="239" spans="1:4" ht="12.75">
      <c r="A239" s="3" t="s">
        <v>69</v>
      </c>
      <c r="B239" s="3">
        <v>53089.12</v>
      </c>
      <c r="C239" s="3">
        <v>0</v>
      </c>
      <c r="D239" s="3">
        <f t="shared" si="8"/>
        <v>0</v>
      </c>
    </row>
    <row r="240" spans="1:4" ht="12.75">
      <c r="A240" s="39" t="s">
        <v>161</v>
      </c>
      <c r="B240" s="40">
        <v>13272.28</v>
      </c>
      <c r="C240" s="40">
        <f>C241</f>
        <v>0</v>
      </c>
      <c r="D240" s="52">
        <f t="shared" si="8"/>
        <v>0</v>
      </c>
    </row>
    <row r="241" spans="1:4" ht="12.75">
      <c r="A241" s="13" t="s">
        <v>49</v>
      </c>
      <c r="B241" s="14">
        <v>13272.28</v>
      </c>
      <c r="C241" s="14">
        <f>C242</f>
        <v>0</v>
      </c>
      <c r="D241" s="53">
        <f t="shared" si="8"/>
        <v>0</v>
      </c>
    </row>
    <row r="242" spans="1:4" ht="12.75">
      <c r="A242" s="3" t="s">
        <v>69</v>
      </c>
      <c r="B242" s="3">
        <v>13272.28</v>
      </c>
      <c r="C242" s="3">
        <v>0</v>
      </c>
      <c r="D242" s="3">
        <f t="shared" si="8"/>
        <v>0</v>
      </c>
    </row>
    <row r="243" spans="1:4" ht="12.75">
      <c r="A243" s="37" t="s">
        <v>162</v>
      </c>
      <c r="B243" s="38">
        <v>119450.53</v>
      </c>
      <c r="C243" s="38">
        <f>C244+C247+C251+C255+C258+C261+C264</f>
        <v>5225.99</v>
      </c>
      <c r="D243" s="51">
        <f t="shared" si="8"/>
        <v>4.375024539447418</v>
      </c>
    </row>
    <row r="244" spans="1:4" ht="12.75">
      <c r="A244" s="39" t="s">
        <v>163</v>
      </c>
      <c r="B244" s="40">
        <v>26544.56</v>
      </c>
      <c r="C244" s="40">
        <f>C246</f>
        <v>0</v>
      </c>
      <c r="D244" s="52">
        <f t="shared" si="8"/>
        <v>0</v>
      </c>
    </row>
    <row r="245" spans="1:4" ht="12.75">
      <c r="A245" s="13" t="s">
        <v>47</v>
      </c>
      <c r="B245" s="14">
        <v>26544.56</v>
      </c>
      <c r="C245" s="14">
        <f>C246</f>
        <v>0</v>
      </c>
      <c r="D245" s="53">
        <f t="shared" si="8"/>
        <v>0</v>
      </c>
    </row>
    <row r="246" spans="1:4" ht="12.75">
      <c r="A246" s="3" t="s">
        <v>64</v>
      </c>
      <c r="B246" s="3">
        <v>26544.56</v>
      </c>
      <c r="C246" s="3">
        <v>0</v>
      </c>
      <c r="D246" s="3">
        <f t="shared" si="8"/>
        <v>0</v>
      </c>
    </row>
    <row r="247" spans="1:4" ht="12.75">
      <c r="A247" s="39" t="s">
        <v>164</v>
      </c>
      <c r="B247" s="40">
        <v>39816.84</v>
      </c>
      <c r="C247" s="40">
        <f>C249</f>
        <v>3406.66</v>
      </c>
      <c r="D247" s="52">
        <f t="shared" si="8"/>
        <v>8.55582713243944</v>
      </c>
    </row>
    <row r="248" spans="1:4" ht="12.75">
      <c r="A248" s="13" t="s">
        <v>39</v>
      </c>
      <c r="B248" s="14">
        <v>39816.84</v>
      </c>
      <c r="C248" s="14">
        <f>C249</f>
        <v>3406.66</v>
      </c>
      <c r="D248" s="53">
        <f t="shared" si="8"/>
        <v>8.55582713243944</v>
      </c>
    </row>
    <row r="249" spans="1:4" ht="12.75">
      <c r="A249" s="3" t="s">
        <v>67</v>
      </c>
      <c r="B249" s="3">
        <v>39816.84</v>
      </c>
      <c r="C249" s="3">
        <f>C250</f>
        <v>3406.66</v>
      </c>
      <c r="D249" s="3">
        <f t="shared" si="8"/>
        <v>8.55582713243944</v>
      </c>
    </row>
    <row r="250" spans="1:4" s="55" customFormat="1" ht="12.75">
      <c r="A250" s="54" t="s">
        <v>234</v>
      </c>
      <c r="B250" s="54"/>
      <c r="C250" s="54">
        <v>3406.66</v>
      </c>
      <c r="D250" s="54"/>
    </row>
    <row r="251" spans="1:4" ht="12.75">
      <c r="A251" s="39" t="s">
        <v>165</v>
      </c>
      <c r="B251" s="40">
        <v>13272.28</v>
      </c>
      <c r="C251" s="40">
        <f>C253</f>
        <v>1819.33</v>
      </c>
      <c r="D251" s="52">
        <f t="shared" si="8"/>
        <v>13.707742754070889</v>
      </c>
    </row>
    <row r="252" spans="1:4" ht="12.75">
      <c r="A252" s="13" t="s">
        <v>55</v>
      </c>
      <c r="B252" s="14">
        <v>13272.28</v>
      </c>
      <c r="C252" s="14">
        <f>C253</f>
        <v>1819.33</v>
      </c>
      <c r="D252" s="53">
        <f t="shared" si="8"/>
        <v>13.707742754070889</v>
      </c>
    </row>
    <row r="253" spans="1:4" ht="12.75">
      <c r="A253" s="3" t="s">
        <v>69</v>
      </c>
      <c r="B253" s="3">
        <v>13272.28</v>
      </c>
      <c r="C253" s="3">
        <f>C254</f>
        <v>1819.33</v>
      </c>
      <c r="D253" s="3">
        <f t="shared" si="8"/>
        <v>13.707742754070889</v>
      </c>
    </row>
    <row r="254" spans="1:4" s="55" customFormat="1" ht="12.75">
      <c r="A254" s="54" t="s">
        <v>238</v>
      </c>
      <c r="B254" s="54"/>
      <c r="C254" s="54">
        <v>1819.33</v>
      </c>
      <c r="D254" s="54"/>
    </row>
    <row r="255" spans="1:4" ht="12.75">
      <c r="A255" s="39" t="s">
        <v>166</v>
      </c>
      <c r="B255" s="40">
        <v>19908.42</v>
      </c>
      <c r="C255" s="40">
        <f>C257</f>
        <v>0</v>
      </c>
      <c r="D255" s="52">
        <f t="shared" si="8"/>
        <v>0</v>
      </c>
    </row>
    <row r="256" spans="1:4" ht="12.75">
      <c r="A256" s="13" t="s">
        <v>55</v>
      </c>
      <c r="B256" s="14">
        <v>19908.42</v>
      </c>
      <c r="C256" s="14">
        <f>C257</f>
        <v>0</v>
      </c>
      <c r="D256" s="53">
        <f t="shared" si="8"/>
        <v>0</v>
      </c>
    </row>
    <row r="257" spans="1:4" ht="12.75">
      <c r="A257" s="3" t="s">
        <v>69</v>
      </c>
      <c r="B257" s="3">
        <v>19908.42</v>
      </c>
      <c r="C257" s="3">
        <v>0</v>
      </c>
      <c r="D257" s="3">
        <f t="shared" si="8"/>
        <v>0</v>
      </c>
    </row>
    <row r="258" spans="1:4" ht="12.75">
      <c r="A258" s="39" t="s">
        <v>167</v>
      </c>
      <c r="B258" s="40">
        <v>1327.23</v>
      </c>
      <c r="C258" s="40">
        <f>C260</f>
        <v>0</v>
      </c>
      <c r="D258" s="52">
        <f t="shared" si="8"/>
        <v>0</v>
      </c>
    </row>
    <row r="259" spans="1:4" ht="12.75">
      <c r="A259" s="13" t="s">
        <v>55</v>
      </c>
      <c r="B259" s="14">
        <v>1327.23</v>
      </c>
      <c r="C259" s="14">
        <f>C260</f>
        <v>0</v>
      </c>
      <c r="D259" s="53">
        <f t="shared" si="8"/>
        <v>0</v>
      </c>
    </row>
    <row r="260" spans="1:4" ht="12.75">
      <c r="A260" s="3" t="s">
        <v>67</v>
      </c>
      <c r="B260" s="3">
        <v>1327.23</v>
      </c>
      <c r="C260" s="3">
        <v>0</v>
      </c>
      <c r="D260" s="3">
        <f t="shared" si="8"/>
        <v>0</v>
      </c>
    </row>
    <row r="261" spans="1:4" ht="12.75">
      <c r="A261" s="39" t="s">
        <v>168</v>
      </c>
      <c r="B261" s="40">
        <v>1327.23</v>
      </c>
      <c r="C261" s="40">
        <f>C263</f>
        <v>0</v>
      </c>
      <c r="D261" s="52">
        <f aca="true" t="shared" si="9" ref="D261:D318">C261/B261*100</f>
        <v>0</v>
      </c>
    </row>
    <row r="262" spans="1:4" ht="12.75">
      <c r="A262" s="13" t="s">
        <v>55</v>
      </c>
      <c r="B262" s="14">
        <v>1327.23</v>
      </c>
      <c r="C262" s="14">
        <f>C263</f>
        <v>0</v>
      </c>
      <c r="D262" s="53">
        <f t="shared" si="9"/>
        <v>0</v>
      </c>
    </row>
    <row r="263" spans="1:4" ht="12.75">
      <c r="A263" s="3" t="s">
        <v>67</v>
      </c>
      <c r="B263" s="3">
        <v>1327.23</v>
      </c>
      <c r="C263" s="3">
        <v>0</v>
      </c>
      <c r="D263" s="3">
        <f t="shared" si="9"/>
        <v>0</v>
      </c>
    </row>
    <row r="264" spans="1:4" ht="12.75">
      <c r="A264" s="39" t="s">
        <v>169</v>
      </c>
      <c r="B264" s="40">
        <v>17253.97</v>
      </c>
      <c r="C264" s="40">
        <f>C266</f>
        <v>0</v>
      </c>
      <c r="D264" s="52">
        <f t="shared" si="9"/>
        <v>0</v>
      </c>
    </row>
    <row r="265" spans="1:4" ht="12.75">
      <c r="A265" s="13" t="s">
        <v>55</v>
      </c>
      <c r="B265" s="14">
        <v>17253.97</v>
      </c>
      <c r="C265" s="14">
        <f>C266</f>
        <v>0</v>
      </c>
      <c r="D265" s="53">
        <f t="shared" si="9"/>
        <v>0</v>
      </c>
    </row>
    <row r="266" spans="1:4" ht="12.75">
      <c r="A266" s="3" t="s">
        <v>66</v>
      </c>
      <c r="B266" s="3">
        <v>17253.97</v>
      </c>
      <c r="C266" s="3">
        <v>0</v>
      </c>
      <c r="D266" s="3">
        <f t="shared" si="9"/>
        <v>0</v>
      </c>
    </row>
    <row r="267" spans="1:4" ht="12.75">
      <c r="A267" s="37" t="s">
        <v>170</v>
      </c>
      <c r="B267" s="38">
        <v>107505.47</v>
      </c>
      <c r="C267" s="38">
        <f>C268+C271</f>
        <v>34357.5</v>
      </c>
      <c r="D267" s="51">
        <f t="shared" si="9"/>
        <v>31.95883893163762</v>
      </c>
    </row>
    <row r="268" spans="1:4" ht="12.75">
      <c r="A268" s="39" t="s">
        <v>171</v>
      </c>
      <c r="B268" s="40">
        <v>13272.28</v>
      </c>
      <c r="C268" s="40">
        <f>C270</f>
        <v>0</v>
      </c>
      <c r="D268" s="52">
        <f t="shared" si="9"/>
        <v>0</v>
      </c>
    </row>
    <row r="269" spans="1:4" ht="12.75">
      <c r="A269" s="13" t="s">
        <v>47</v>
      </c>
      <c r="B269" s="14">
        <v>13272.28</v>
      </c>
      <c r="C269" s="14">
        <f>C270</f>
        <v>0</v>
      </c>
      <c r="D269" s="53">
        <f t="shared" si="9"/>
        <v>0</v>
      </c>
    </row>
    <row r="270" spans="1:4" ht="12.75">
      <c r="A270" s="3" t="s">
        <v>59</v>
      </c>
      <c r="B270" s="3">
        <v>13272.28</v>
      </c>
      <c r="C270" s="3">
        <v>0</v>
      </c>
      <c r="D270" s="3">
        <f t="shared" si="9"/>
        <v>0</v>
      </c>
    </row>
    <row r="271" spans="1:4" ht="12.75">
      <c r="A271" s="39" t="s">
        <v>172</v>
      </c>
      <c r="B271" s="40">
        <v>94233.19</v>
      </c>
      <c r="C271" s="40">
        <f>C273+C275+C277</f>
        <v>34357.5</v>
      </c>
      <c r="D271" s="52">
        <f t="shared" si="9"/>
        <v>36.460083756052406</v>
      </c>
    </row>
    <row r="272" spans="1:4" ht="12.75">
      <c r="A272" s="13" t="s">
        <v>39</v>
      </c>
      <c r="B272" s="14">
        <v>94233.19</v>
      </c>
      <c r="C272" s="14">
        <f>C273+C275+C277</f>
        <v>34357.5</v>
      </c>
      <c r="D272" s="53">
        <f t="shared" si="9"/>
        <v>36.460083756052406</v>
      </c>
    </row>
    <row r="273" spans="1:4" ht="12.75">
      <c r="A273" s="3" t="s">
        <v>59</v>
      </c>
      <c r="B273" s="3">
        <v>27871.79</v>
      </c>
      <c r="C273" s="3">
        <f>C274</f>
        <v>14863.55</v>
      </c>
      <c r="D273" s="3">
        <f t="shared" si="9"/>
        <v>53.32829359004211</v>
      </c>
    </row>
    <row r="274" spans="1:4" s="55" customFormat="1" ht="12.75">
      <c r="A274" s="54" t="s">
        <v>260</v>
      </c>
      <c r="B274" s="54"/>
      <c r="C274" s="54">
        <v>14863.55</v>
      </c>
      <c r="D274" s="54"/>
    </row>
    <row r="275" spans="1:4" ht="12.75">
      <c r="A275" s="3" t="s">
        <v>66</v>
      </c>
      <c r="B275" s="3">
        <v>39816.84</v>
      </c>
      <c r="C275" s="3">
        <f>C276</f>
        <v>11243.95</v>
      </c>
      <c r="D275" s="3">
        <f t="shared" si="9"/>
        <v>28.239182215364156</v>
      </c>
    </row>
    <row r="276" spans="1:4" s="55" customFormat="1" ht="12.75">
      <c r="A276" s="54" t="s">
        <v>232</v>
      </c>
      <c r="B276" s="54"/>
      <c r="C276" s="54">
        <v>11243.95</v>
      </c>
      <c r="D276" s="54"/>
    </row>
    <row r="277" spans="1:4" ht="12.75">
      <c r="A277" s="3" t="s">
        <v>67</v>
      </c>
      <c r="B277" s="3">
        <v>26544.56</v>
      </c>
      <c r="C277" s="3">
        <f>C278</f>
        <v>8250</v>
      </c>
      <c r="D277" s="3">
        <f t="shared" si="9"/>
        <v>31.07981447046024</v>
      </c>
    </row>
    <row r="278" spans="1:4" s="55" customFormat="1" ht="12.75">
      <c r="A278" s="54" t="s">
        <v>237</v>
      </c>
      <c r="B278" s="54"/>
      <c r="C278" s="54">
        <v>8250</v>
      </c>
      <c r="D278" s="54"/>
    </row>
    <row r="279" spans="1:4" ht="12.75">
      <c r="A279" s="35" t="s">
        <v>173</v>
      </c>
      <c r="B279" s="36">
        <v>1748410.61</v>
      </c>
      <c r="C279" s="36">
        <f>C286+C304+C320+C325</f>
        <v>227527.51</v>
      </c>
      <c r="D279" s="49">
        <f t="shared" si="9"/>
        <v>13.013391059208912</v>
      </c>
    </row>
    <row r="280" spans="1:4" ht="12.75">
      <c r="A280" s="13" t="s">
        <v>39</v>
      </c>
      <c r="B280" s="14">
        <f>B288+B292+B296+B306+B310+B313+B317+B322+B331</f>
        <v>253367.83999999997</v>
      </c>
      <c r="C280" s="14">
        <f>C288+C292+C296+C306+C310+C313+C317+C322+C331</f>
        <v>130731.84</v>
      </c>
      <c r="D280" s="53">
        <f>C280/B280*100</f>
        <v>51.59764554175463</v>
      </c>
    </row>
    <row r="281" spans="1:4" ht="12.75">
      <c r="A281" s="24" t="s">
        <v>253</v>
      </c>
      <c r="B281" s="14">
        <v>0</v>
      </c>
      <c r="C281" s="14">
        <f>C365</f>
        <v>81010.43</v>
      </c>
      <c r="D281" s="53"/>
    </row>
    <row r="282" spans="1:4" ht="12.75">
      <c r="A282" s="13" t="s">
        <v>45</v>
      </c>
      <c r="B282" s="14">
        <f>B338</f>
        <v>19908.41</v>
      </c>
      <c r="C282" s="14">
        <f>C338</f>
        <v>15785.24</v>
      </c>
      <c r="D282" s="53">
        <f>C282/B282*100</f>
        <v>79.28930537396005</v>
      </c>
    </row>
    <row r="283" spans="1:4" ht="12.75">
      <c r="A283" s="13" t="s">
        <v>41</v>
      </c>
      <c r="B283" s="14">
        <f>B356+B359</f>
        <v>23539.699999999997</v>
      </c>
      <c r="C283" s="14">
        <f>C359+C356</f>
        <v>0</v>
      </c>
      <c r="D283" s="53">
        <f>C283/B283*100</f>
        <v>0</v>
      </c>
    </row>
    <row r="284" spans="1:4" ht="12.75">
      <c r="A284" s="13" t="s">
        <v>43</v>
      </c>
      <c r="B284" s="14">
        <f>B300+B362</f>
        <v>522535</v>
      </c>
      <c r="C284" s="14">
        <f>C300+C362</f>
        <v>0</v>
      </c>
      <c r="D284" s="53">
        <f>C284/B284*100</f>
        <v>0</v>
      </c>
    </row>
    <row r="285" spans="1:4" ht="12.75">
      <c r="A285" s="13" t="s">
        <v>68</v>
      </c>
      <c r="B285" s="14">
        <f>B302</f>
        <v>929059.66</v>
      </c>
      <c r="C285" s="14">
        <f>C302</f>
        <v>0</v>
      </c>
      <c r="D285" s="53">
        <f>C285/B285*100</f>
        <v>0</v>
      </c>
    </row>
    <row r="286" spans="1:4" ht="12.75">
      <c r="A286" s="37" t="s">
        <v>174</v>
      </c>
      <c r="B286" s="38">
        <v>1380582.66</v>
      </c>
      <c r="C286" s="38">
        <f>C287+C291+C295+C299</f>
        <v>29680.83</v>
      </c>
      <c r="D286" s="51">
        <f t="shared" si="9"/>
        <v>2.149877067121791</v>
      </c>
    </row>
    <row r="287" spans="1:4" ht="12.75">
      <c r="A287" s="39" t="s">
        <v>175</v>
      </c>
      <c r="B287" s="40">
        <v>3981.68</v>
      </c>
      <c r="C287" s="40">
        <f>C289</f>
        <v>1274.2</v>
      </c>
      <c r="D287" s="52">
        <f t="shared" si="9"/>
        <v>32.00156717767375</v>
      </c>
    </row>
    <row r="288" spans="1:4" ht="12.75">
      <c r="A288" s="13" t="s">
        <v>39</v>
      </c>
      <c r="B288" s="14">
        <v>3981.68</v>
      </c>
      <c r="C288" s="14">
        <f>C289</f>
        <v>1274.2</v>
      </c>
      <c r="D288" s="53">
        <f t="shared" si="9"/>
        <v>32.00156717767375</v>
      </c>
    </row>
    <row r="289" spans="1:4" s="55" customFormat="1" ht="12.75">
      <c r="A289" s="3" t="s">
        <v>62</v>
      </c>
      <c r="B289" s="3">
        <v>3981.68</v>
      </c>
      <c r="C289" s="3">
        <f>C290</f>
        <v>1274.2</v>
      </c>
      <c r="D289" s="3">
        <f t="shared" si="9"/>
        <v>32.00156717767375</v>
      </c>
    </row>
    <row r="290" spans="1:4" ht="12.75">
      <c r="A290" s="54" t="s">
        <v>246</v>
      </c>
      <c r="B290" s="54"/>
      <c r="C290" s="54">
        <v>1274.2</v>
      </c>
      <c r="D290" s="54"/>
    </row>
    <row r="291" spans="1:4" ht="12.75">
      <c r="A291" s="39" t="s">
        <v>176</v>
      </c>
      <c r="B291" s="40">
        <v>7963.37</v>
      </c>
      <c r="C291" s="40">
        <f>C293</f>
        <v>5403.47</v>
      </c>
      <c r="D291" s="52">
        <f t="shared" si="9"/>
        <v>67.85406178539989</v>
      </c>
    </row>
    <row r="292" spans="1:4" ht="12.75">
      <c r="A292" s="13" t="s">
        <v>39</v>
      </c>
      <c r="B292" s="14">
        <v>7963.37</v>
      </c>
      <c r="C292" s="14">
        <f>C293</f>
        <v>5403.47</v>
      </c>
      <c r="D292" s="53">
        <f t="shared" si="9"/>
        <v>67.85406178539989</v>
      </c>
    </row>
    <row r="293" spans="1:4" s="55" customFormat="1" ht="12.75">
      <c r="A293" s="3" t="s">
        <v>62</v>
      </c>
      <c r="B293" s="3">
        <v>7963.37</v>
      </c>
      <c r="C293" s="3">
        <f>C294</f>
        <v>5403.47</v>
      </c>
      <c r="D293" s="3">
        <f t="shared" si="9"/>
        <v>67.85406178539989</v>
      </c>
    </row>
    <row r="294" spans="1:4" ht="12.75">
      <c r="A294" s="54" t="s">
        <v>246</v>
      </c>
      <c r="B294" s="54"/>
      <c r="C294" s="54">
        <v>5403.47</v>
      </c>
      <c r="D294" s="54"/>
    </row>
    <row r="295" spans="1:4" ht="12.75">
      <c r="A295" s="39" t="s">
        <v>177</v>
      </c>
      <c r="B295" s="40">
        <v>41409.52</v>
      </c>
      <c r="C295" s="40">
        <f>C297</f>
        <v>23003.16</v>
      </c>
      <c r="D295" s="52">
        <f t="shared" si="9"/>
        <v>55.55041449405837</v>
      </c>
    </row>
    <row r="296" spans="1:4" ht="12.75">
      <c r="A296" s="13" t="s">
        <v>39</v>
      </c>
      <c r="B296" s="14">
        <v>41409.52</v>
      </c>
      <c r="C296" s="14">
        <f>C297</f>
        <v>23003.16</v>
      </c>
      <c r="D296" s="53">
        <f t="shared" si="9"/>
        <v>55.55041449405837</v>
      </c>
    </row>
    <row r="297" spans="1:4" s="55" customFormat="1" ht="12.75">
      <c r="A297" s="3" t="s">
        <v>64</v>
      </c>
      <c r="B297" s="3">
        <v>41409.52</v>
      </c>
      <c r="C297" s="3">
        <f>C298</f>
        <v>23003.16</v>
      </c>
      <c r="D297" s="3">
        <f t="shared" si="9"/>
        <v>55.55041449405837</v>
      </c>
    </row>
    <row r="298" spans="1:4" ht="12.75">
      <c r="A298" s="54" t="s">
        <v>241</v>
      </c>
      <c r="B298" s="54"/>
      <c r="C298" s="54">
        <v>23003.16</v>
      </c>
      <c r="D298" s="54"/>
    </row>
    <row r="299" spans="1:4" ht="12.75">
      <c r="A299" s="39" t="s">
        <v>178</v>
      </c>
      <c r="B299" s="40">
        <v>1327228.09</v>
      </c>
      <c r="C299" s="40">
        <f>C301+C303</f>
        <v>0</v>
      </c>
      <c r="D299" s="52">
        <f t="shared" si="9"/>
        <v>0</v>
      </c>
    </row>
    <row r="300" spans="1:4" ht="12.75">
      <c r="A300" s="13" t="s">
        <v>43</v>
      </c>
      <c r="B300" s="14">
        <v>398168.43</v>
      </c>
      <c r="C300" s="14">
        <f>C301</f>
        <v>0</v>
      </c>
      <c r="D300" s="53">
        <f t="shared" si="9"/>
        <v>0</v>
      </c>
    </row>
    <row r="301" spans="1:4" ht="12.75">
      <c r="A301" s="3" t="s">
        <v>67</v>
      </c>
      <c r="B301" s="3">
        <v>398168.43</v>
      </c>
      <c r="C301" s="3">
        <v>0</v>
      </c>
      <c r="D301" s="3">
        <f t="shared" si="9"/>
        <v>0</v>
      </c>
    </row>
    <row r="302" spans="1:4" ht="12.75">
      <c r="A302" s="13" t="s">
        <v>68</v>
      </c>
      <c r="B302" s="14">
        <v>929059.66</v>
      </c>
      <c r="C302" s="14">
        <f>C303</f>
        <v>0</v>
      </c>
      <c r="D302" s="53">
        <f t="shared" si="9"/>
        <v>0</v>
      </c>
    </row>
    <row r="303" spans="1:4" ht="12.75">
      <c r="A303" s="3" t="s">
        <v>67</v>
      </c>
      <c r="B303" s="3">
        <v>929059.66</v>
      </c>
      <c r="C303" s="3">
        <v>0</v>
      </c>
      <c r="D303" s="3">
        <f t="shared" si="9"/>
        <v>0</v>
      </c>
    </row>
    <row r="304" spans="1:4" ht="12.75">
      <c r="A304" s="37" t="s">
        <v>179</v>
      </c>
      <c r="B304" s="38">
        <v>66494.12</v>
      </c>
      <c r="C304" s="38">
        <f>C305+C309+C312+C316</f>
        <v>12920.57</v>
      </c>
      <c r="D304" s="51">
        <f t="shared" si="9"/>
        <v>19.43114669387308</v>
      </c>
    </row>
    <row r="305" spans="1:4" ht="12.75">
      <c r="A305" s="39" t="s">
        <v>180</v>
      </c>
      <c r="B305" s="40">
        <v>25217.33</v>
      </c>
      <c r="C305" s="40">
        <f>C307</f>
        <v>8994.27</v>
      </c>
      <c r="D305" s="52">
        <f t="shared" si="9"/>
        <v>35.66701946637491</v>
      </c>
    </row>
    <row r="306" spans="1:4" ht="12.75">
      <c r="A306" s="13" t="s">
        <v>39</v>
      </c>
      <c r="B306" s="14">
        <v>25217.33</v>
      </c>
      <c r="C306" s="14">
        <f>C307</f>
        <v>8994.27</v>
      </c>
      <c r="D306" s="53">
        <f t="shared" si="9"/>
        <v>35.66701946637491</v>
      </c>
    </row>
    <row r="307" spans="1:4" s="55" customFormat="1" ht="12.75">
      <c r="A307" s="3" t="s">
        <v>62</v>
      </c>
      <c r="B307" s="3">
        <v>25217.33</v>
      </c>
      <c r="C307" s="3">
        <f>C308</f>
        <v>8994.27</v>
      </c>
      <c r="D307" s="3">
        <f t="shared" si="9"/>
        <v>35.66701946637491</v>
      </c>
    </row>
    <row r="308" spans="1:4" ht="12.75">
      <c r="A308" s="54" t="s">
        <v>246</v>
      </c>
      <c r="B308" s="54"/>
      <c r="C308" s="54">
        <v>8994.27</v>
      </c>
      <c r="D308" s="54"/>
    </row>
    <row r="309" spans="1:4" ht="12.75">
      <c r="A309" s="39" t="s">
        <v>181</v>
      </c>
      <c r="B309" s="40">
        <v>33180.7</v>
      </c>
      <c r="C309" s="40">
        <f>C311</f>
        <v>0</v>
      </c>
      <c r="D309" s="52">
        <f t="shared" si="9"/>
        <v>0</v>
      </c>
    </row>
    <row r="310" spans="1:4" ht="12.75">
      <c r="A310" s="13" t="s">
        <v>39</v>
      </c>
      <c r="B310" s="14">
        <v>33180.7</v>
      </c>
      <c r="C310" s="14">
        <f>C311</f>
        <v>0</v>
      </c>
      <c r="D310" s="53">
        <f t="shared" si="9"/>
        <v>0</v>
      </c>
    </row>
    <row r="311" spans="1:4" ht="12.75">
      <c r="A311" s="3" t="s">
        <v>62</v>
      </c>
      <c r="B311" s="3">
        <v>33180.7</v>
      </c>
      <c r="C311" s="3">
        <v>0</v>
      </c>
      <c r="D311" s="3">
        <f t="shared" si="9"/>
        <v>0</v>
      </c>
    </row>
    <row r="312" spans="1:4" ht="12.75">
      <c r="A312" s="39" t="s">
        <v>182</v>
      </c>
      <c r="B312" s="40">
        <v>6768.86</v>
      </c>
      <c r="C312" s="40">
        <f>C314</f>
        <v>3064.3</v>
      </c>
      <c r="D312" s="52">
        <f t="shared" si="9"/>
        <v>45.27054777318485</v>
      </c>
    </row>
    <row r="313" spans="1:4" ht="12.75">
      <c r="A313" s="13" t="s">
        <v>39</v>
      </c>
      <c r="B313" s="14">
        <v>6768.86</v>
      </c>
      <c r="C313" s="14">
        <f>C314</f>
        <v>3064.3</v>
      </c>
      <c r="D313" s="53">
        <f t="shared" si="9"/>
        <v>45.27054777318485</v>
      </c>
    </row>
    <row r="314" spans="1:4" ht="12.75">
      <c r="A314" s="3" t="s">
        <v>59</v>
      </c>
      <c r="B314" s="3">
        <v>6768.86</v>
      </c>
      <c r="C314" s="3">
        <f>C315</f>
        <v>3064.3</v>
      </c>
      <c r="D314" s="3">
        <f t="shared" si="9"/>
        <v>45.27054777318485</v>
      </c>
    </row>
    <row r="315" spans="1:4" s="55" customFormat="1" ht="12.75">
      <c r="A315" s="54" t="s">
        <v>260</v>
      </c>
      <c r="B315" s="54"/>
      <c r="C315" s="54">
        <v>3064.3</v>
      </c>
      <c r="D315" s="54"/>
    </row>
    <row r="316" spans="1:4" ht="12.75">
      <c r="A316" s="39" t="s">
        <v>183</v>
      </c>
      <c r="B316" s="40">
        <v>1327.23</v>
      </c>
      <c r="C316" s="40">
        <f>C318</f>
        <v>862</v>
      </c>
      <c r="D316" s="52">
        <f t="shared" si="9"/>
        <v>64.94729624857787</v>
      </c>
    </row>
    <row r="317" spans="1:4" ht="12.75">
      <c r="A317" s="13" t="s">
        <v>39</v>
      </c>
      <c r="B317" s="14">
        <v>1327.23</v>
      </c>
      <c r="C317" s="14">
        <f>C318</f>
        <v>862</v>
      </c>
      <c r="D317" s="53">
        <f t="shared" si="9"/>
        <v>64.94729624857787</v>
      </c>
    </row>
    <row r="318" spans="1:4" ht="12.75">
      <c r="A318" s="3" t="s">
        <v>62</v>
      </c>
      <c r="B318" s="3">
        <v>1327.23</v>
      </c>
      <c r="C318" s="3">
        <f>C319</f>
        <v>862</v>
      </c>
      <c r="D318" s="3">
        <f t="shared" si="9"/>
        <v>64.94729624857787</v>
      </c>
    </row>
    <row r="319" spans="1:4" ht="12.75">
      <c r="A319" s="54" t="s">
        <v>246</v>
      </c>
      <c r="B319" s="3"/>
      <c r="C319" s="54">
        <v>862</v>
      </c>
      <c r="D319" s="3"/>
    </row>
    <row r="320" spans="1:4" ht="12.75">
      <c r="A320" s="37" t="s">
        <v>184</v>
      </c>
      <c r="B320" s="38">
        <v>63706.95</v>
      </c>
      <c r="C320" s="38">
        <f>C321</f>
        <v>40162.98</v>
      </c>
      <c r="D320" s="51">
        <f>C320/B320*100</f>
        <v>63.043325728197644</v>
      </c>
    </row>
    <row r="321" spans="1:8" ht="12.75">
      <c r="A321" s="39" t="s">
        <v>185</v>
      </c>
      <c r="B321" s="40">
        <v>63706.95</v>
      </c>
      <c r="C321" s="40">
        <f>C323</f>
        <v>40162.98</v>
      </c>
      <c r="D321" s="52">
        <f>C321/B321*100</f>
        <v>63.043325728197644</v>
      </c>
      <c r="H321" s="55"/>
    </row>
    <row r="322" spans="1:4" ht="12.75">
      <c r="A322" s="13" t="s">
        <v>39</v>
      </c>
      <c r="B322" s="14">
        <v>63706.95</v>
      </c>
      <c r="C322" s="14">
        <f>C323</f>
        <v>40162.98</v>
      </c>
      <c r="D322" s="53">
        <f>C322/B322*100</f>
        <v>63.043325728197644</v>
      </c>
    </row>
    <row r="323" spans="1:4" s="55" customFormat="1" ht="12.75">
      <c r="A323" s="3" t="s">
        <v>63</v>
      </c>
      <c r="B323" s="3">
        <v>63706.95</v>
      </c>
      <c r="C323" s="3">
        <f>C324</f>
        <v>40162.98</v>
      </c>
      <c r="D323" s="3">
        <f>C323/B323*100</f>
        <v>63.043325728197644</v>
      </c>
    </row>
    <row r="324" spans="1:4" ht="12.75">
      <c r="A324" s="54" t="s">
        <v>243</v>
      </c>
      <c r="B324" s="54"/>
      <c r="C324" s="54">
        <v>40162.98</v>
      </c>
      <c r="D324" s="54"/>
    </row>
    <row r="325" spans="1:4" ht="12.75">
      <c r="A325" s="41" t="s">
        <v>186</v>
      </c>
      <c r="B325" s="42">
        <v>237626.88</v>
      </c>
      <c r="C325" s="42">
        <f>C330+C358</f>
        <v>144763.13</v>
      </c>
      <c r="D325" s="50">
        <f>C325/B325*100</f>
        <v>60.920351266658045</v>
      </c>
    </row>
    <row r="326" spans="1:4" ht="12.75">
      <c r="A326" s="13" t="s">
        <v>39</v>
      </c>
      <c r="B326" s="14">
        <v>69812.2</v>
      </c>
      <c r="C326" s="14">
        <f>C331+C365</f>
        <v>128977.88999999998</v>
      </c>
      <c r="D326" s="53">
        <f>C326/B326*100</f>
        <v>184.7497858540484</v>
      </c>
    </row>
    <row r="327" spans="1:4" ht="12.75">
      <c r="A327" s="13" t="s">
        <v>45</v>
      </c>
      <c r="B327" s="14">
        <v>19908.41</v>
      </c>
      <c r="C327" s="14">
        <f>C338</f>
        <v>15785.24</v>
      </c>
      <c r="D327" s="53">
        <f aca="true" t="shared" si="10" ref="D327:D332">C327/B327*100</f>
        <v>79.28930537396005</v>
      </c>
    </row>
    <row r="328" spans="1:4" ht="12.75">
      <c r="A328" s="13" t="s">
        <v>41</v>
      </c>
      <c r="B328" s="14">
        <f>B356+B359</f>
        <v>23539.699999999997</v>
      </c>
      <c r="C328" s="14">
        <f>C356+C359</f>
        <v>0</v>
      </c>
      <c r="D328" s="53">
        <f t="shared" si="10"/>
        <v>0</v>
      </c>
    </row>
    <row r="329" spans="1:4" ht="12.75">
      <c r="A329" s="13" t="s">
        <v>43</v>
      </c>
      <c r="B329" s="14">
        <v>124366.57</v>
      </c>
      <c r="C329" s="14">
        <f>C362</f>
        <v>0</v>
      </c>
      <c r="D329" s="53">
        <f t="shared" si="10"/>
        <v>0</v>
      </c>
    </row>
    <row r="330" spans="1:4" ht="12.75">
      <c r="A330" s="39" t="s">
        <v>187</v>
      </c>
      <c r="B330" s="40">
        <v>91313.28</v>
      </c>
      <c r="C330" s="40">
        <f>C332+C336+C339+C354+C357</f>
        <v>63752.7</v>
      </c>
      <c r="D330" s="52">
        <f t="shared" si="10"/>
        <v>69.8175555625644</v>
      </c>
    </row>
    <row r="331" spans="1:4" s="55" customFormat="1" ht="12.75">
      <c r="A331" s="13" t="s">
        <v>39</v>
      </c>
      <c r="B331" s="14">
        <v>69812.2</v>
      </c>
      <c r="C331" s="14">
        <f>C332+C336</f>
        <v>47967.46</v>
      </c>
      <c r="D331" s="53">
        <f t="shared" si="10"/>
        <v>68.70928003987842</v>
      </c>
    </row>
    <row r="332" spans="1:4" ht="12.75">
      <c r="A332" s="3" t="s">
        <v>58</v>
      </c>
      <c r="B332" s="3">
        <v>69015.86</v>
      </c>
      <c r="C332" s="3">
        <f>C335+C334+C333</f>
        <v>47781.82</v>
      </c>
      <c r="D332" s="3">
        <f t="shared" si="10"/>
        <v>69.2331009133263</v>
      </c>
    </row>
    <row r="333" spans="1:4" s="55" customFormat="1" ht="12.75">
      <c r="A333" s="54" t="s">
        <v>279</v>
      </c>
      <c r="B333" s="54"/>
      <c r="C333" s="54">
        <v>38504.6</v>
      </c>
      <c r="D333" s="54"/>
    </row>
    <row r="334" spans="1:4" s="55" customFormat="1" ht="12.75">
      <c r="A334" s="54" t="s">
        <v>278</v>
      </c>
      <c r="B334" s="54"/>
      <c r="C334" s="54">
        <v>3300</v>
      </c>
      <c r="D334" s="54"/>
    </row>
    <row r="335" spans="1:4" s="55" customFormat="1" ht="12.75">
      <c r="A335" s="54" t="s">
        <v>277</v>
      </c>
      <c r="B335" s="54"/>
      <c r="C335" s="54">
        <v>5977.22</v>
      </c>
      <c r="D335" s="54"/>
    </row>
    <row r="336" spans="1:4" ht="12.75">
      <c r="A336" s="3" t="s">
        <v>59</v>
      </c>
      <c r="B336" s="3">
        <v>796.34</v>
      </c>
      <c r="C336" s="3">
        <f>C337</f>
        <v>185.64</v>
      </c>
      <c r="D336" s="3">
        <f>C336/B336*100</f>
        <v>23.311650802421074</v>
      </c>
    </row>
    <row r="337" spans="1:4" ht="12.75">
      <c r="A337" s="54" t="s">
        <v>275</v>
      </c>
      <c r="B337" s="54"/>
      <c r="C337" s="54">
        <v>185.64</v>
      </c>
      <c r="D337" s="54"/>
    </row>
    <row r="338" spans="1:4" s="55" customFormat="1" ht="12.75">
      <c r="A338" s="13" t="s">
        <v>45</v>
      </c>
      <c r="B338" s="14">
        <v>19908.41</v>
      </c>
      <c r="C338" s="14">
        <f>C339+C354</f>
        <v>15785.24</v>
      </c>
      <c r="D338" s="53">
        <f>C338/B338*100</f>
        <v>79.28930537396005</v>
      </c>
    </row>
    <row r="339" spans="1:4" s="55" customFormat="1" ht="12.75">
      <c r="A339" s="3" t="s">
        <v>59</v>
      </c>
      <c r="B339" s="3">
        <v>19563.33</v>
      </c>
      <c r="C339" s="3">
        <f>C353+C352+C351+C350+C349+C348+C347+C346+C345+C344+C343+C341+C342+C340</f>
        <v>15546.74</v>
      </c>
      <c r="D339" s="3">
        <f>C339/B339*100</f>
        <v>79.46878164402482</v>
      </c>
    </row>
    <row r="340" spans="1:4" s="55" customFormat="1" ht="12.75">
      <c r="A340" s="54" t="s">
        <v>274</v>
      </c>
      <c r="B340" s="54"/>
      <c r="C340" s="54">
        <v>187.5</v>
      </c>
      <c r="D340" s="54"/>
    </row>
    <row r="341" spans="1:4" s="55" customFormat="1" ht="12.75">
      <c r="A341" s="54" t="s">
        <v>272</v>
      </c>
      <c r="B341" s="54"/>
      <c r="C341" s="54">
        <v>2014.5</v>
      </c>
      <c r="D341" s="54"/>
    </row>
    <row r="342" spans="1:4" s="55" customFormat="1" ht="12.75">
      <c r="A342" s="54" t="s">
        <v>271</v>
      </c>
      <c r="B342" s="54"/>
      <c r="C342" s="54">
        <v>2084.35</v>
      </c>
      <c r="D342" s="54"/>
    </row>
    <row r="343" spans="1:4" s="55" customFormat="1" ht="12.75">
      <c r="A343" s="54" t="s">
        <v>270</v>
      </c>
      <c r="B343" s="54"/>
      <c r="C343" s="54">
        <v>1398.62</v>
      </c>
      <c r="D343" s="54"/>
    </row>
    <row r="344" spans="1:4" s="55" customFormat="1" ht="12.75">
      <c r="A344" s="54" t="s">
        <v>269</v>
      </c>
      <c r="B344" s="54"/>
      <c r="C344" s="54">
        <v>128.33</v>
      </c>
      <c r="D344" s="54"/>
    </row>
    <row r="345" spans="1:4" s="55" customFormat="1" ht="12.75">
      <c r="A345" s="54" t="s">
        <v>268</v>
      </c>
      <c r="B345" s="54"/>
      <c r="C345" s="54">
        <v>342.52</v>
      </c>
      <c r="D345" s="54"/>
    </row>
    <row r="346" spans="1:4" s="55" customFormat="1" ht="12.75">
      <c r="A346" s="54" t="s">
        <v>267</v>
      </c>
      <c r="B346" s="54"/>
      <c r="C346" s="54">
        <v>855.72</v>
      </c>
      <c r="D346" s="54"/>
    </row>
    <row r="347" spans="1:4" s="55" customFormat="1" ht="12.75">
      <c r="A347" s="54" t="s">
        <v>266</v>
      </c>
      <c r="B347" s="54"/>
      <c r="C347" s="54">
        <v>4668.38</v>
      </c>
      <c r="D347" s="54"/>
    </row>
    <row r="348" spans="1:4" s="55" customFormat="1" ht="12.75">
      <c r="A348" s="54" t="s">
        <v>265</v>
      </c>
      <c r="B348" s="54"/>
      <c r="C348" s="54">
        <v>20</v>
      </c>
      <c r="D348" s="54"/>
    </row>
    <row r="349" spans="1:4" s="55" customFormat="1" ht="12.75">
      <c r="A349" s="54" t="s">
        <v>263</v>
      </c>
      <c r="B349" s="54"/>
      <c r="C349" s="54">
        <v>438.35</v>
      </c>
      <c r="D349" s="54"/>
    </row>
    <row r="350" spans="1:4" s="55" customFormat="1" ht="12.75">
      <c r="A350" s="54" t="s">
        <v>261</v>
      </c>
      <c r="B350" s="54"/>
      <c r="C350" s="54">
        <v>246.98</v>
      </c>
      <c r="D350" s="54"/>
    </row>
    <row r="351" spans="1:4" s="55" customFormat="1" ht="12.75">
      <c r="A351" s="54" t="s">
        <v>260</v>
      </c>
      <c r="B351" s="54"/>
      <c r="C351" s="54">
        <v>1771.38</v>
      </c>
      <c r="D351" s="54"/>
    </row>
    <row r="352" spans="1:4" ht="12.75">
      <c r="A352" s="54" t="s">
        <v>258</v>
      </c>
      <c r="B352" s="54"/>
      <c r="C352" s="54">
        <v>112.73</v>
      </c>
      <c r="D352" s="54"/>
    </row>
    <row r="353" spans="1:4" s="55" customFormat="1" ht="12.75">
      <c r="A353" s="54" t="s">
        <v>251</v>
      </c>
      <c r="B353" s="54"/>
      <c r="C353" s="54">
        <v>1277.38</v>
      </c>
      <c r="D353" s="54"/>
    </row>
    <row r="354" spans="1:4" ht="12.75">
      <c r="A354" s="3" t="s">
        <v>60</v>
      </c>
      <c r="B354" s="3">
        <v>345.08</v>
      </c>
      <c r="C354" s="3">
        <f>C355</f>
        <v>238.5</v>
      </c>
      <c r="D354" s="3">
        <f>C354/B354*100</f>
        <v>69.11440825315869</v>
      </c>
    </row>
    <row r="355" spans="1:4" ht="12.75">
      <c r="A355" s="54" t="s">
        <v>249</v>
      </c>
      <c r="B355" s="54"/>
      <c r="C355" s="54">
        <v>238.5</v>
      </c>
      <c r="D355" s="54"/>
    </row>
    <row r="356" spans="1:4" ht="12.75">
      <c r="A356" s="13" t="s">
        <v>41</v>
      </c>
      <c r="B356" s="14">
        <v>1592.67</v>
      </c>
      <c r="C356" s="14">
        <f>C357</f>
        <v>0</v>
      </c>
      <c r="D356" s="53">
        <f aca="true" t="shared" si="11" ref="D356:D364">C356/B356*100</f>
        <v>0</v>
      </c>
    </row>
    <row r="357" spans="1:4" ht="12.75">
      <c r="A357" s="3" t="s">
        <v>59</v>
      </c>
      <c r="B357" s="3">
        <v>1592.67</v>
      </c>
      <c r="C357" s="3">
        <v>0</v>
      </c>
      <c r="D357" s="3">
        <f t="shared" si="11"/>
        <v>0</v>
      </c>
    </row>
    <row r="358" spans="1:4" ht="12.75">
      <c r="A358" s="39" t="s">
        <v>188</v>
      </c>
      <c r="B358" s="40">
        <v>146313.6</v>
      </c>
      <c r="C358" s="40">
        <f>C360+C361+C363+C364+C366+C369</f>
        <v>81010.43</v>
      </c>
      <c r="D358" s="52">
        <f t="shared" si="11"/>
        <v>55.3676691708768</v>
      </c>
    </row>
    <row r="359" spans="1:4" ht="12.75">
      <c r="A359" s="13" t="s">
        <v>41</v>
      </c>
      <c r="B359" s="14">
        <v>21947.03</v>
      </c>
      <c r="C359" s="14">
        <f>C360+C361</f>
        <v>0</v>
      </c>
      <c r="D359" s="53">
        <f t="shared" si="11"/>
        <v>0</v>
      </c>
    </row>
    <row r="360" spans="1:4" ht="12.75">
      <c r="A360" s="3" t="s">
        <v>58</v>
      </c>
      <c r="B360" s="3">
        <v>18044.99</v>
      </c>
      <c r="C360" s="3">
        <v>0</v>
      </c>
      <c r="D360" s="3">
        <f t="shared" si="11"/>
        <v>0</v>
      </c>
    </row>
    <row r="361" spans="1:4" ht="12.75">
      <c r="A361" s="3" t="s">
        <v>59</v>
      </c>
      <c r="B361" s="3">
        <v>3902.04</v>
      </c>
      <c r="C361" s="3">
        <v>0</v>
      </c>
      <c r="D361" s="3">
        <f t="shared" si="11"/>
        <v>0</v>
      </c>
    </row>
    <row r="362" spans="1:4" ht="12.75">
      <c r="A362" s="13" t="s">
        <v>43</v>
      </c>
      <c r="B362" s="14">
        <v>124366.57</v>
      </c>
      <c r="C362" s="14">
        <f>C363+C364</f>
        <v>0</v>
      </c>
      <c r="D362" s="53">
        <f t="shared" si="11"/>
        <v>0</v>
      </c>
    </row>
    <row r="363" spans="1:4" ht="12.75">
      <c r="A363" s="3" t="s">
        <v>58</v>
      </c>
      <c r="B363" s="3">
        <v>102254.96</v>
      </c>
      <c r="C363" s="3">
        <v>0</v>
      </c>
      <c r="D363" s="3">
        <f t="shared" si="11"/>
        <v>0</v>
      </c>
    </row>
    <row r="364" spans="1:4" ht="12.75">
      <c r="A364" s="3" t="s">
        <v>59</v>
      </c>
      <c r="B364" s="3">
        <v>22111.61</v>
      </c>
      <c r="C364" s="3">
        <v>0</v>
      </c>
      <c r="D364" s="3">
        <f t="shared" si="11"/>
        <v>0</v>
      </c>
    </row>
    <row r="365" spans="1:4" ht="12.75">
      <c r="A365" s="24" t="s">
        <v>39</v>
      </c>
      <c r="B365" s="14">
        <v>0</v>
      </c>
      <c r="C365" s="14">
        <f>C366+C369</f>
        <v>81010.43</v>
      </c>
      <c r="D365" s="53"/>
    </row>
    <row r="366" spans="1:4" ht="12.75">
      <c r="A366" s="3" t="s">
        <v>58</v>
      </c>
      <c r="B366" s="3">
        <v>0</v>
      </c>
      <c r="C366" s="3">
        <f>C368+C367</f>
        <v>51494.64</v>
      </c>
      <c r="D366" s="3"/>
    </row>
    <row r="367" spans="1:4" s="55" customFormat="1" ht="12.75">
      <c r="A367" s="54" t="s">
        <v>279</v>
      </c>
      <c r="B367" s="54"/>
      <c r="C367" s="54">
        <v>44910.1</v>
      </c>
      <c r="D367" s="54"/>
    </row>
    <row r="368" spans="1:4" s="55" customFormat="1" ht="12.75">
      <c r="A368" s="54" t="s">
        <v>277</v>
      </c>
      <c r="B368" s="54"/>
      <c r="C368" s="54">
        <v>6584.54</v>
      </c>
      <c r="D368" s="54"/>
    </row>
    <row r="369" spans="1:4" ht="12.75">
      <c r="A369" s="3" t="s">
        <v>59</v>
      </c>
      <c r="B369" s="3">
        <v>0</v>
      </c>
      <c r="C369" s="3">
        <f>C373+C372+C371+C370</f>
        <v>29515.79</v>
      </c>
      <c r="D369" s="3"/>
    </row>
    <row r="370" spans="1:4" s="55" customFormat="1" ht="12.75">
      <c r="A370" s="54" t="s">
        <v>275</v>
      </c>
      <c r="B370" s="54"/>
      <c r="C370" s="54">
        <v>185.65</v>
      </c>
      <c r="D370" s="54"/>
    </row>
    <row r="371" spans="1:4" s="55" customFormat="1" ht="12.75">
      <c r="A371" s="54" t="s">
        <v>274</v>
      </c>
      <c r="B371" s="54"/>
      <c r="C371" s="54">
        <v>3635</v>
      </c>
      <c r="D371" s="54"/>
    </row>
    <row r="372" spans="1:4" s="55" customFormat="1" ht="12.75">
      <c r="A372" s="54" t="s">
        <v>271</v>
      </c>
      <c r="B372" s="54"/>
      <c r="C372" s="54">
        <v>9889.46</v>
      </c>
      <c r="D372" s="54"/>
    </row>
    <row r="373" spans="1:4" s="55" customFormat="1" ht="12.75">
      <c r="A373" s="54" t="s">
        <v>260</v>
      </c>
      <c r="B373" s="54"/>
      <c r="C373" s="54">
        <v>15805.68</v>
      </c>
      <c r="D373" s="54"/>
    </row>
    <row r="374" spans="1:4" ht="12.75">
      <c r="A374" s="35" t="s">
        <v>189</v>
      </c>
      <c r="B374" s="36">
        <v>384394.46</v>
      </c>
      <c r="C374" s="36">
        <f>C380+C408+C426</f>
        <v>102404.11000000002</v>
      </c>
      <c r="D374" s="49">
        <f>C374/B374*100</f>
        <v>26.640370935626912</v>
      </c>
    </row>
    <row r="375" spans="1:4" ht="12.75">
      <c r="A375" s="13" t="s">
        <v>39</v>
      </c>
      <c r="B375" s="14">
        <f>B382+B391+B406+B410+B416+B428+B422</f>
        <v>266772.87</v>
      </c>
      <c r="C375" s="14">
        <f>C382+C391+C406+C410+C416+C422+C428+C399</f>
        <v>102404.11</v>
      </c>
      <c r="D375" s="53">
        <f aca="true" t="shared" si="12" ref="D375:D380">C375/B375*100</f>
        <v>38.38625344473747</v>
      </c>
    </row>
    <row r="376" spans="1:4" ht="12.75">
      <c r="A376" s="13" t="s">
        <v>41</v>
      </c>
      <c r="B376" s="14">
        <f>B386+B395</f>
        <v>12035.69</v>
      </c>
      <c r="C376" s="14">
        <f>C386+C395</f>
        <v>0</v>
      </c>
      <c r="D376" s="53">
        <f t="shared" si="12"/>
        <v>0</v>
      </c>
    </row>
    <row r="377" spans="1:4" ht="12.75">
      <c r="A377" s="13" t="s">
        <v>42</v>
      </c>
      <c r="B377" s="14">
        <v>39816.84</v>
      </c>
      <c r="C377" s="14">
        <f>C424</f>
        <v>0</v>
      </c>
      <c r="D377" s="53">
        <f t="shared" si="12"/>
        <v>0</v>
      </c>
    </row>
    <row r="378" spans="1:4" ht="12.75">
      <c r="A378" s="13" t="s">
        <v>43</v>
      </c>
      <c r="B378" s="14">
        <v>64441.83</v>
      </c>
      <c r="C378" s="14">
        <f>C397</f>
        <v>0</v>
      </c>
      <c r="D378" s="53">
        <f t="shared" si="12"/>
        <v>0</v>
      </c>
    </row>
    <row r="379" spans="1:4" ht="12.75">
      <c r="A379" s="13" t="s">
        <v>51</v>
      </c>
      <c r="B379" s="14">
        <v>1327.23</v>
      </c>
      <c r="C379" s="14">
        <f>C388</f>
        <v>0</v>
      </c>
      <c r="D379" s="53">
        <f t="shared" si="12"/>
        <v>0</v>
      </c>
    </row>
    <row r="380" spans="1:4" s="55" customFormat="1" ht="12.75">
      <c r="A380" s="56" t="s">
        <v>229</v>
      </c>
      <c r="B380" s="38">
        <f>B381+B390+B394+B405</f>
        <v>138857.25</v>
      </c>
      <c r="C380" s="38">
        <f>C381+C390+C394+C405</f>
        <v>37844.43</v>
      </c>
      <c r="D380" s="51">
        <f t="shared" si="12"/>
        <v>27.25419810632862</v>
      </c>
    </row>
    <row r="381" spans="1:4" ht="12.75">
      <c r="A381" s="39" t="s">
        <v>190</v>
      </c>
      <c r="B381" s="40">
        <v>25217.33</v>
      </c>
      <c r="C381" s="40">
        <f>C383+C387+C389</f>
        <v>4116.57</v>
      </c>
      <c r="D381" s="52">
        <f>C381/B381*100</f>
        <v>16.32436899544876</v>
      </c>
    </row>
    <row r="382" spans="1:4" ht="12.75">
      <c r="A382" s="13" t="s">
        <v>39</v>
      </c>
      <c r="B382" s="14">
        <v>23226.49</v>
      </c>
      <c r="C382" s="14">
        <f>C383</f>
        <v>4116.57</v>
      </c>
      <c r="D382" s="53">
        <f>C382/B382*100</f>
        <v>17.7235992179619</v>
      </c>
    </row>
    <row r="383" spans="1:4" s="55" customFormat="1" ht="12.75">
      <c r="A383" s="3" t="s">
        <v>59</v>
      </c>
      <c r="B383" s="3">
        <v>23226.49</v>
      </c>
      <c r="C383" s="3">
        <f>C385+C384</f>
        <v>4116.57</v>
      </c>
      <c r="D383" s="3">
        <f>C383/B383*100</f>
        <v>17.7235992179619</v>
      </c>
    </row>
    <row r="384" spans="1:4" s="55" customFormat="1" ht="12.75">
      <c r="A384" s="54" t="s">
        <v>262</v>
      </c>
      <c r="B384" s="54"/>
      <c r="C384" s="54">
        <v>3863.48</v>
      </c>
      <c r="D384" s="54"/>
    </row>
    <row r="385" spans="1:4" ht="12.75">
      <c r="A385" s="54" t="s">
        <v>257</v>
      </c>
      <c r="B385" s="54"/>
      <c r="C385" s="54">
        <v>253.09</v>
      </c>
      <c r="D385" s="54"/>
    </row>
    <row r="386" spans="1:4" ht="12.75">
      <c r="A386" s="13" t="s">
        <v>41</v>
      </c>
      <c r="B386" s="14">
        <v>663.61</v>
      </c>
      <c r="C386" s="14">
        <f>C387</f>
        <v>0</v>
      </c>
      <c r="D386" s="53">
        <f aca="true" t="shared" si="13" ref="D386:D392">C386/B386*100</f>
        <v>0</v>
      </c>
    </row>
    <row r="387" spans="1:4" s="55" customFormat="1" ht="12.75">
      <c r="A387" s="3" t="s">
        <v>59</v>
      </c>
      <c r="B387" s="3">
        <v>663.61</v>
      </c>
      <c r="C387" s="3">
        <v>0</v>
      </c>
      <c r="D387" s="3">
        <f t="shared" si="13"/>
        <v>0</v>
      </c>
    </row>
    <row r="388" spans="1:4" ht="12.75">
      <c r="A388" s="13" t="s">
        <v>51</v>
      </c>
      <c r="B388" s="14">
        <v>1327.23</v>
      </c>
      <c r="C388" s="14">
        <f>C389</f>
        <v>0</v>
      </c>
      <c r="D388" s="53">
        <f t="shared" si="13"/>
        <v>0</v>
      </c>
    </row>
    <row r="389" spans="1:4" ht="12.75">
      <c r="A389" s="3" t="s">
        <v>59</v>
      </c>
      <c r="B389" s="3">
        <v>1327.23</v>
      </c>
      <c r="C389" s="3">
        <v>0</v>
      </c>
      <c r="D389" s="3">
        <f t="shared" si="13"/>
        <v>0</v>
      </c>
    </row>
    <row r="390" spans="1:4" ht="12.75">
      <c r="A390" s="39" t="s">
        <v>191</v>
      </c>
      <c r="B390" s="40">
        <v>28535.41</v>
      </c>
      <c r="C390" s="40">
        <f>C392</f>
        <v>10732.72</v>
      </c>
      <c r="D390" s="52">
        <f t="shared" si="13"/>
        <v>37.61193548647101</v>
      </c>
    </row>
    <row r="391" spans="1:4" ht="12.75">
      <c r="A391" s="13" t="s">
        <v>39</v>
      </c>
      <c r="B391" s="14">
        <v>28535.41</v>
      </c>
      <c r="C391" s="14">
        <f>C392</f>
        <v>10732.72</v>
      </c>
      <c r="D391" s="53">
        <f t="shared" si="13"/>
        <v>37.61193548647101</v>
      </c>
    </row>
    <row r="392" spans="1:4" ht="12.75">
      <c r="A392" s="3" t="s">
        <v>64</v>
      </c>
      <c r="B392" s="3">
        <v>28535.41</v>
      </c>
      <c r="C392" s="3">
        <f>C393</f>
        <v>10732.72</v>
      </c>
      <c r="D392" s="3">
        <f t="shared" si="13"/>
        <v>37.61193548647101</v>
      </c>
    </row>
    <row r="393" spans="1:4" ht="12.75">
      <c r="A393" s="54" t="s">
        <v>241</v>
      </c>
      <c r="B393" s="54"/>
      <c r="C393" s="54">
        <v>10732.72</v>
      </c>
      <c r="D393" s="54"/>
    </row>
    <row r="394" spans="1:4" ht="12.75">
      <c r="A394" s="39" t="s">
        <v>192</v>
      </c>
      <c r="B394" s="40">
        <v>75813.91</v>
      </c>
      <c r="C394" s="40">
        <f>C396+C398+C400</f>
        <v>22995.14</v>
      </c>
      <c r="D394" s="52">
        <f>C394/B394*100</f>
        <v>30.331030281910003</v>
      </c>
    </row>
    <row r="395" spans="1:4" ht="12.75">
      <c r="A395" s="13" t="s">
        <v>41</v>
      </c>
      <c r="B395" s="14">
        <v>11372.08</v>
      </c>
      <c r="C395" s="14">
        <f>C396</f>
        <v>0</v>
      </c>
      <c r="D395" s="53">
        <f>C395/B395*100</f>
        <v>0</v>
      </c>
    </row>
    <row r="396" spans="1:4" ht="12.75">
      <c r="A396" s="3" t="s">
        <v>59</v>
      </c>
      <c r="B396" s="3">
        <v>11372.08</v>
      </c>
      <c r="C396" s="3">
        <v>0</v>
      </c>
      <c r="D396" s="3">
        <f>C396/B396*100</f>
        <v>0</v>
      </c>
    </row>
    <row r="397" spans="1:4" s="55" customFormat="1" ht="12.75">
      <c r="A397" s="13" t="s">
        <v>43</v>
      </c>
      <c r="B397" s="14">
        <v>64441.83</v>
      </c>
      <c r="C397" s="14">
        <f>C398</f>
        <v>0</v>
      </c>
      <c r="D397" s="53">
        <f>C397/B397*100</f>
        <v>0</v>
      </c>
    </row>
    <row r="398" spans="1:4" s="55" customFormat="1" ht="12.75">
      <c r="A398" s="3" t="s">
        <v>59</v>
      </c>
      <c r="B398" s="3">
        <v>64441.83</v>
      </c>
      <c r="C398" s="3">
        <v>0</v>
      </c>
      <c r="D398" s="3">
        <f>C398/B398*100</f>
        <v>0</v>
      </c>
    </row>
    <row r="399" spans="1:4" ht="12.75">
      <c r="A399" s="24" t="s">
        <v>39</v>
      </c>
      <c r="B399" s="14">
        <v>0</v>
      </c>
      <c r="C399" s="14">
        <f>C400</f>
        <v>22995.14</v>
      </c>
      <c r="D399" s="53"/>
    </row>
    <row r="400" spans="1:4" ht="12.75">
      <c r="A400" s="3" t="s">
        <v>59</v>
      </c>
      <c r="B400" s="3">
        <v>0</v>
      </c>
      <c r="C400" s="3">
        <f>C404+C403+C402+C401</f>
        <v>22995.14</v>
      </c>
      <c r="D400" s="3"/>
    </row>
    <row r="401" spans="1:4" s="55" customFormat="1" ht="12.75">
      <c r="A401" s="54" t="s">
        <v>273</v>
      </c>
      <c r="B401" s="54"/>
      <c r="C401" s="54">
        <v>16.28</v>
      </c>
      <c r="D401" s="54"/>
    </row>
    <row r="402" spans="1:4" s="55" customFormat="1" ht="12.75">
      <c r="A402" s="54" t="s">
        <v>260</v>
      </c>
      <c r="B402" s="54"/>
      <c r="C402" s="54">
        <v>21624.86</v>
      </c>
      <c r="D402" s="54"/>
    </row>
    <row r="403" spans="1:4" ht="12.75">
      <c r="A403" s="54" t="s">
        <v>258</v>
      </c>
      <c r="B403" s="54"/>
      <c r="C403" s="54">
        <v>956</v>
      </c>
      <c r="D403" s="54"/>
    </row>
    <row r="404" spans="1:4" s="55" customFormat="1" ht="12.75">
      <c r="A404" s="54" t="s">
        <v>252</v>
      </c>
      <c r="B404" s="54"/>
      <c r="C404" s="54">
        <v>398</v>
      </c>
      <c r="D404" s="54"/>
    </row>
    <row r="405" spans="1:4" ht="12.75">
      <c r="A405" s="39" t="s">
        <v>193</v>
      </c>
      <c r="B405" s="40">
        <v>9290.6</v>
      </c>
      <c r="C405" s="40">
        <f>C407</f>
        <v>0</v>
      </c>
      <c r="D405" s="52">
        <f aca="true" t="shared" si="14" ref="D405:D457">C405/B405*100</f>
        <v>0</v>
      </c>
    </row>
    <row r="406" spans="1:4" ht="12.75">
      <c r="A406" s="13" t="s">
        <v>39</v>
      </c>
      <c r="B406" s="14">
        <v>9290.6</v>
      </c>
      <c r="C406" s="14">
        <f>C407</f>
        <v>0</v>
      </c>
      <c r="D406" s="53">
        <f t="shared" si="14"/>
        <v>0</v>
      </c>
    </row>
    <row r="407" spans="1:4" ht="12.75">
      <c r="A407" s="3" t="s">
        <v>59</v>
      </c>
      <c r="B407" s="3">
        <v>9290.6</v>
      </c>
      <c r="C407" s="3">
        <v>0</v>
      </c>
      <c r="D407" s="3">
        <f t="shared" si="14"/>
        <v>0</v>
      </c>
    </row>
    <row r="408" spans="1:4" s="55" customFormat="1" ht="12.75">
      <c r="A408" s="37" t="s">
        <v>194</v>
      </c>
      <c r="B408" s="38">
        <v>244209.98</v>
      </c>
      <c r="C408" s="38">
        <f>C409+C415+C421</f>
        <v>62966.990000000005</v>
      </c>
      <c r="D408" s="51">
        <f t="shared" si="14"/>
        <v>25.783954447725684</v>
      </c>
    </row>
    <row r="409" spans="1:4" ht="12.75">
      <c r="A409" s="39" t="s">
        <v>195</v>
      </c>
      <c r="B409" s="40">
        <v>91578.75</v>
      </c>
      <c r="C409" s="40">
        <f>C411+C413</f>
        <v>55989.880000000005</v>
      </c>
      <c r="D409" s="52">
        <f t="shared" si="14"/>
        <v>61.138506476666265</v>
      </c>
    </row>
    <row r="410" spans="1:4" s="55" customFormat="1" ht="12.75">
      <c r="A410" s="13" t="s">
        <v>39</v>
      </c>
      <c r="B410" s="14">
        <v>91578.75</v>
      </c>
      <c r="C410" s="14">
        <f>C411+C413</f>
        <v>55989.880000000005</v>
      </c>
      <c r="D410" s="53">
        <f t="shared" si="14"/>
        <v>61.138506476666265</v>
      </c>
    </row>
    <row r="411" spans="1:4" ht="12.75">
      <c r="A411" s="3" t="s">
        <v>62</v>
      </c>
      <c r="B411" s="3">
        <v>2654.46</v>
      </c>
      <c r="C411" s="3">
        <f>C412</f>
        <v>3318.05</v>
      </c>
      <c r="D411" s="3">
        <f t="shared" si="14"/>
        <v>124.99905818885951</v>
      </c>
    </row>
    <row r="412" spans="1:4" ht="12.75">
      <c r="A412" s="54" t="s">
        <v>246</v>
      </c>
      <c r="B412" s="54"/>
      <c r="C412" s="54">
        <v>3318.05</v>
      </c>
      <c r="D412" s="54"/>
    </row>
    <row r="413" spans="1:4" ht="12.75">
      <c r="A413" s="3" t="s">
        <v>64</v>
      </c>
      <c r="B413" s="3">
        <v>88924.29</v>
      </c>
      <c r="C413" s="3">
        <f>C414</f>
        <v>52671.83</v>
      </c>
      <c r="D413" s="3">
        <f t="shared" si="14"/>
        <v>59.23221877846875</v>
      </c>
    </row>
    <row r="414" spans="1:4" s="55" customFormat="1" ht="12.75">
      <c r="A414" s="54" t="s">
        <v>241</v>
      </c>
      <c r="B414" s="54"/>
      <c r="C414" s="54">
        <v>52671.83</v>
      </c>
      <c r="D414" s="54"/>
    </row>
    <row r="415" spans="1:4" ht="12.75">
      <c r="A415" s="39" t="s">
        <v>196</v>
      </c>
      <c r="B415" s="40">
        <v>19908.42</v>
      </c>
      <c r="C415" s="40">
        <f>C417+C419</f>
        <v>6977.11</v>
      </c>
      <c r="D415" s="52">
        <f t="shared" si="14"/>
        <v>35.04602575191804</v>
      </c>
    </row>
    <row r="416" spans="1:4" s="55" customFormat="1" ht="12.75">
      <c r="A416" s="13" t="s">
        <v>39</v>
      </c>
      <c r="B416" s="14">
        <v>19908.42</v>
      </c>
      <c r="C416" s="14">
        <f>C417+C419</f>
        <v>6977.11</v>
      </c>
      <c r="D416" s="53">
        <f t="shared" si="14"/>
        <v>35.04602575191804</v>
      </c>
    </row>
    <row r="417" spans="1:4" ht="12.75">
      <c r="A417" s="3" t="s">
        <v>59</v>
      </c>
      <c r="B417" s="3">
        <v>13272.28</v>
      </c>
      <c r="C417" s="3">
        <f>C418</f>
        <v>4731.15</v>
      </c>
      <c r="D417" s="3">
        <f t="shared" si="14"/>
        <v>35.64685193501041</v>
      </c>
    </row>
    <row r="418" spans="1:4" ht="12.75">
      <c r="A418" s="54" t="s">
        <v>266</v>
      </c>
      <c r="B418" s="54"/>
      <c r="C418" s="54">
        <v>4731.15</v>
      </c>
      <c r="D418" s="54"/>
    </row>
    <row r="419" spans="1:4" ht="12.75">
      <c r="A419" s="3" t="s">
        <v>64</v>
      </c>
      <c r="B419" s="3">
        <v>6636.14</v>
      </c>
      <c r="C419" s="3">
        <f>C420</f>
        <v>2245.96</v>
      </c>
      <c r="D419" s="3">
        <f t="shared" si="14"/>
        <v>33.84437338573327</v>
      </c>
    </row>
    <row r="420" spans="1:4" ht="12.75">
      <c r="A420" s="54" t="s">
        <v>241</v>
      </c>
      <c r="B420" s="54"/>
      <c r="C420" s="54">
        <v>2245.96</v>
      </c>
      <c r="D420" s="54"/>
    </row>
    <row r="421" spans="1:4" ht="12.75">
      <c r="A421" s="39" t="s">
        <v>197</v>
      </c>
      <c r="B421" s="40">
        <v>132722.81</v>
      </c>
      <c r="C421" s="40">
        <f>C423+C425</f>
        <v>0</v>
      </c>
      <c r="D421" s="52">
        <f t="shared" si="14"/>
        <v>0</v>
      </c>
    </row>
    <row r="422" spans="1:4" ht="12.75">
      <c r="A422" s="13" t="s">
        <v>39</v>
      </c>
      <c r="B422" s="14">
        <v>92905.97</v>
      </c>
      <c r="C422" s="14">
        <f>C423</f>
        <v>0</v>
      </c>
      <c r="D422" s="53">
        <f t="shared" si="14"/>
        <v>0</v>
      </c>
    </row>
    <row r="423" spans="1:4" ht="12.75">
      <c r="A423" s="3" t="s">
        <v>69</v>
      </c>
      <c r="B423" s="3">
        <v>92905.97</v>
      </c>
      <c r="C423" s="3">
        <v>0</v>
      </c>
      <c r="D423" s="3">
        <f t="shared" si="14"/>
        <v>0</v>
      </c>
    </row>
    <row r="424" spans="1:4" ht="12.75">
      <c r="A424" s="13" t="s">
        <v>42</v>
      </c>
      <c r="B424" s="14">
        <v>39816.84</v>
      </c>
      <c r="C424" s="14">
        <f>C425</f>
        <v>0</v>
      </c>
      <c r="D424" s="53">
        <f t="shared" si="14"/>
        <v>0</v>
      </c>
    </row>
    <row r="425" spans="1:4" ht="12.75">
      <c r="A425" s="3" t="s">
        <v>69</v>
      </c>
      <c r="B425" s="3">
        <v>39816.84</v>
      </c>
      <c r="C425" s="3">
        <v>0</v>
      </c>
      <c r="D425" s="3">
        <f t="shared" si="14"/>
        <v>0</v>
      </c>
    </row>
    <row r="426" spans="1:4" s="55" customFormat="1" ht="12.75">
      <c r="A426" s="37" t="s">
        <v>198</v>
      </c>
      <c r="B426" s="38">
        <v>1327.23</v>
      </c>
      <c r="C426" s="38">
        <f>C427</f>
        <v>1592.69</v>
      </c>
      <c r="D426" s="51">
        <f t="shared" si="14"/>
        <v>120.00105482847736</v>
      </c>
    </row>
    <row r="427" spans="1:4" ht="12.75">
      <c r="A427" s="39" t="s">
        <v>199</v>
      </c>
      <c r="B427" s="40">
        <v>1327.23</v>
      </c>
      <c r="C427" s="40">
        <f>C429</f>
        <v>1592.69</v>
      </c>
      <c r="D427" s="52">
        <f t="shared" si="14"/>
        <v>120.00105482847736</v>
      </c>
    </row>
    <row r="428" spans="1:4" ht="12.75">
      <c r="A428" s="13" t="s">
        <v>39</v>
      </c>
      <c r="B428" s="14">
        <v>1327.23</v>
      </c>
      <c r="C428" s="14">
        <f>C429</f>
        <v>1592.69</v>
      </c>
      <c r="D428" s="53">
        <f t="shared" si="14"/>
        <v>120.00105482847736</v>
      </c>
    </row>
    <row r="429" spans="1:4" ht="12.75">
      <c r="A429" s="3" t="s">
        <v>64</v>
      </c>
      <c r="B429" s="3">
        <v>1327.23</v>
      </c>
      <c r="C429" s="3">
        <f>C430</f>
        <v>1592.69</v>
      </c>
      <c r="D429" s="3">
        <f t="shared" si="14"/>
        <v>120.00105482847736</v>
      </c>
    </row>
    <row r="430" spans="1:4" ht="12.75">
      <c r="A430" s="54" t="s">
        <v>241</v>
      </c>
      <c r="B430" s="54"/>
      <c r="C430" s="54">
        <v>1592.69</v>
      </c>
      <c r="D430" s="54"/>
    </row>
    <row r="431" spans="1:4" ht="12.75">
      <c r="A431" s="35" t="s">
        <v>200</v>
      </c>
      <c r="B431" s="36">
        <v>176187.52</v>
      </c>
      <c r="C431" s="36">
        <f>C435+C460</f>
        <v>32445.64</v>
      </c>
      <c r="D431" s="49">
        <f t="shared" si="14"/>
        <v>18.41540195355494</v>
      </c>
    </row>
    <row r="432" spans="1:4" ht="12.75">
      <c r="A432" s="13" t="s">
        <v>39</v>
      </c>
      <c r="B432" s="14">
        <f>B437+B444+B455+B458+B462+B465</f>
        <v>115070.65000000001</v>
      </c>
      <c r="C432" s="14">
        <f>C437+C444+C455+C458+C462+C465</f>
        <v>32445.64</v>
      </c>
      <c r="D432" s="53">
        <f>C432/B432*100</f>
        <v>28.196277678104707</v>
      </c>
    </row>
    <row r="433" spans="1:4" ht="12.75">
      <c r="A433" s="13" t="s">
        <v>41</v>
      </c>
      <c r="B433" s="14">
        <f>B441+B448</f>
        <v>11423.82</v>
      </c>
      <c r="C433" s="14">
        <f>C441+C448</f>
        <v>0</v>
      </c>
      <c r="D433" s="53">
        <f>C433/B433*100</f>
        <v>0</v>
      </c>
    </row>
    <row r="434" spans="1:4" ht="12.75">
      <c r="A434" s="13" t="s">
        <v>43</v>
      </c>
      <c r="B434" s="14">
        <v>49693.05</v>
      </c>
      <c r="C434" s="14">
        <f>C451</f>
        <v>0</v>
      </c>
      <c r="D434" s="53">
        <f>C434/B434*100</f>
        <v>0</v>
      </c>
    </row>
    <row r="435" spans="1:4" s="55" customFormat="1" ht="12.75">
      <c r="A435" s="56" t="s">
        <v>230</v>
      </c>
      <c r="B435" s="38">
        <f>B436+B443+B447+B454+B457</f>
        <v>170878.61000000002</v>
      </c>
      <c r="C435" s="38">
        <f>C436+C443+C447+C454+C457</f>
        <v>32113.829999999998</v>
      </c>
      <c r="D435" s="51">
        <f>C435/B435*100</f>
        <v>18.793358630433612</v>
      </c>
    </row>
    <row r="436" spans="1:4" s="55" customFormat="1" ht="12.75">
      <c r="A436" s="39" t="s">
        <v>201</v>
      </c>
      <c r="B436" s="40">
        <v>66626.83</v>
      </c>
      <c r="C436" s="40">
        <f>C438+C442</f>
        <v>23366.76</v>
      </c>
      <c r="D436" s="52">
        <f t="shared" si="14"/>
        <v>35.07109673385331</v>
      </c>
    </row>
    <row r="437" spans="1:4" ht="12.75">
      <c r="A437" s="13" t="s">
        <v>39</v>
      </c>
      <c r="B437" s="14">
        <v>63972.37</v>
      </c>
      <c r="C437" s="14">
        <f>C438</f>
        <v>23366.76</v>
      </c>
      <c r="D437" s="53">
        <f t="shared" si="14"/>
        <v>36.52633160222139</v>
      </c>
    </row>
    <row r="438" spans="1:4" ht="12.75">
      <c r="A438" s="3" t="s">
        <v>63</v>
      </c>
      <c r="B438" s="3">
        <v>63972.37</v>
      </c>
      <c r="C438" s="3">
        <f>C439+C440</f>
        <v>23366.76</v>
      </c>
      <c r="D438" s="3">
        <f t="shared" si="14"/>
        <v>36.52633160222139</v>
      </c>
    </row>
    <row r="439" spans="1:4" ht="12.75">
      <c r="A439" s="54" t="s">
        <v>243</v>
      </c>
      <c r="B439" s="54"/>
      <c r="C439" s="54">
        <v>17198.8</v>
      </c>
      <c r="D439" s="54"/>
    </row>
    <row r="440" spans="1:4" ht="12.75">
      <c r="A440" s="54" t="s">
        <v>244</v>
      </c>
      <c r="B440" s="54"/>
      <c r="C440" s="54">
        <v>6167.96</v>
      </c>
      <c r="D440" s="54"/>
    </row>
    <row r="441" spans="1:4" ht="12.75">
      <c r="A441" s="13" t="s">
        <v>41</v>
      </c>
      <c r="B441" s="14">
        <v>2654.46</v>
      </c>
      <c r="C441" s="14">
        <f>C442</f>
        <v>0</v>
      </c>
      <c r="D441" s="53">
        <f t="shared" si="14"/>
        <v>0</v>
      </c>
    </row>
    <row r="442" spans="1:4" ht="12.75">
      <c r="A442" s="3" t="s">
        <v>63</v>
      </c>
      <c r="B442" s="3">
        <v>2654.46</v>
      </c>
      <c r="C442" s="3">
        <v>0</v>
      </c>
      <c r="D442" s="3">
        <f t="shared" si="14"/>
        <v>0</v>
      </c>
    </row>
    <row r="443" spans="1:4" ht="12.75">
      <c r="A443" s="39" t="s">
        <v>202</v>
      </c>
      <c r="B443" s="40">
        <v>17917.58</v>
      </c>
      <c r="C443" s="40">
        <f>C444</f>
        <v>8747.07</v>
      </c>
      <c r="D443" s="52">
        <f t="shared" si="14"/>
        <v>48.81836721253651</v>
      </c>
    </row>
    <row r="444" spans="1:4" ht="12.75">
      <c r="A444" s="13" t="s">
        <v>39</v>
      </c>
      <c r="B444" s="14">
        <v>17917.58</v>
      </c>
      <c r="C444" s="14">
        <f>C445</f>
        <v>8747.07</v>
      </c>
      <c r="D444" s="53">
        <f t="shared" si="14"/>
        <v>48.81836721253651</v>
      </c>
    </row>
    <row r="445" spans="1:4" ht="12.75">
      <c r="A445" s="3" t="s">
        <v>64</v>
      </c>
      <c r="B445" s="3">
        <v>17917.58</v>
      </c>
      <c r="C445" s="3">
        <f>C446</f>
        <v>8747.07</v>
      </c>
      <c r="D445" s="3">
        <f t="shared" si="14"/>
        <v>48.81836721253651</v>
      </c>
    </row>
    <row r="446" spans="1:4" s="55" customFormat="1" ht="12.75">
      <c r="A446" s="54" t="s">
        <v>241</v>
      </c>
      <c r="B446" s="3"/>
      <c r="C446" s="54">
        <v>8747.07</v>
      </c>
      <c r="D446" s="3"/>
    </row>
    <row r="447" spans="1:4" ht="12.75">
      <c r="A447" s="39" t="s">
        <v>203</v>
      </c>
      <c r="B447" s="40">
        <v>58462.41</v>
      </c>
      <c r="C447" s="40">
        <f>C449+C450+C452+C453</f>
        <v>0</v>
      </c>
      <c r="D447" s="52">
        <f t="shared" si="14"/>
        <v>0</v>
      </c>
    </row>
    <row r="448" spans="1:4" s="55" customFormat="1" ht="12.75">
      <c r="A448" s="13" t="s">
        <v>41</v>
      </c>
      <c r="B448" s="14">
        <v>8769.36</v>
      </c>
      <c r="C448" s="14">
        <f>C449+C450</f>
        <v>0</v>
      </c>
      <c r="D448" s="53">
        <f t="shared" si="14"/>
        <v>0</v>
      </c>
    </row>
    <row r="449" spans="1:4" ht="12.75">
      <c r="A449" s="3" t="s">
        <v>58</v>
      </c>
      <c r="B449" s="3">
        <v>7316.04</v>
      </c>
      <c r="C449" s="3">
        <v>0</v>
      </c>
      <c r="D449" s="3">
        <f t="shared" si="14"/>
        <v>0</v>
      </c>
    </row>
    <row r="450" spans="1:4" s="55" customFormat="1" ht="12.75">
      <c r="A450" s="3" t="s">
        <v>59</v>
      </c>
      <c r="B450" s="3">
        <v>1453.32</v>
      </c>
      <c r="C450" s="3">
        <v>0</v>
      </c>
      <c r="D450" s="3">
        <f t="shared" si="14"/>
        <v>0</v>
      </c>
    </row>
    <row r="451" spans="1:4" s="55" customFormat="1" ht="12.75">
      <c r="A451" s="13" t="s">
        <v>43</v>
      </c>
      <c r="B451" s="14">
        <v>49693.05</v>
      </c>
      <c r="C451" s="14">
        <f>C452+C453</f>
        <v>0</v>
      </c>
      <c r="D451" s="53">
        <f t="shared" si="14"/>
        <v>0</v>
      </c>
    </row>
    <row r="452" spans="1:4" ht="12.75">
      <c r="A452" s="3" t="s">
        <v>58</v>
      </c>
      <c r="B452" s="3">
        <v>41457.6</v>
      </c>
      <c r="C452" s="3">
        <v>0</v>
      </c>
      <c r="D452" s="3">
        <f t="shared" si="14"/>
        <v>0</v>
      </c>
    </row>
    <row r="453" spans="1:4" ht="12.75">
      <c r="A453" s="3" t="s">
        <v>59</v>
      </c>
      <c r="B453" s="3">
        <v>8235.45</v>
      </c>
      <c r="C453" s="3">
        <v>0</v>
      </c>
      <c r="D453" s="3">
        <f t="shared" si="14"/>
        <v>0</v>
      </c>
    </row>
    <row r="454" spans="1:4" ht="12.75">
      <c r="A454" s="39" t="s">
        <v>204</v>
      </c>
      <c r="B454" s="40">
        <v>21235.65</v>
      </c>
      <c r="C454" s="40">
        <f>C456</f>
        <v>0</v>
      </c>
      <c r="D454" s="52">
        <f t="shared" si="14"/>
        <v>0</v>
      </c>
    </row>
    <row r="455" spans="1:4" ht="12.75">
      <c r="A455" s="13" t="s">
        <v>39</v>
      </c>
      <c r="B455" s="14">
        <v>21235.65</v>
      </c>
      <c r="C455" s="14">
        <f>C456</f>
        <v>0</v>
      </c>
      <c r="D455" s="53">
        <f t="shared" si="14"/>
        <v>0</v>
      </c>
    </row>
    <row r="456" spans="1:4" ht="12.75">
      <c r="A456" s="3" t="s">
        <v>64</v>
      </c>
      <c r="B456" s="3">
        <v>21235.65</v>
      </c>
      <c r="C456" s="3">
        <v>0</v>
      </c>
      <c r="D456" s="3">
        <f t="shared" si="14"/>
        <v>0</v>
      </c>
    </row>
    <row r="457" spans="1:4" ht="12.75">
      <c r="A457" s="39" t="s">
        <v>205</v>
      </c>
      <c r="B457" s="40">
        <v>6636.14</v>
      </c>
      <c r="C457" s="40">
        <f>C459</f>
        <v>0</v>
      </c>
      <c r="D457" s="52">
        <f t="shared" si="14"/>
        <v>0</v>
      </c>
    </row>
    <row r="458" spans="1:4" ht="12.75">
      <c r="A458" s="13" t="s">
        <v>39</v>
      </c>
      <c r="B458" s="14">
        <v>6636.14</v>
      </c>
      <c r="C458" s="14">
        <f>C459</f>
        <v>0</v>
      </c>
      <c r="D458" s="53">
        <f aca="true" t="shared" si="15" ref="D458:D511">C458/B458*100</f>
        <v>0</v>
      </c>
    </row>
    <row r="459" spans="1:4" ht="12.75">
      <c r="A459" s="3" t="s">
        <v>62</v>
      </c>
      <c r="B459" s="3">
        <v>6636.14</v>
      </c>
      <c r="C459" s="3">
        <v>0</v>
      </c>
      <c r="D459" s="3">
        <f t="shared" si="15"/>
        <v>0</v>
      </c>
    </row>
    <row r="460" spans="1:4" ht="12.75">
      <c r="A460" s="37" t="s">
        <v>206</v>
      </c>
      <c r="B460" s="38">
        <v>5308.91</v>
      </c>
      <c r="C460" s="38">
        <f>C461+C464</f>
        <v>331.81</v>
      </c>
      <c r="D460" s="51">
        <f t="shared" si="15"/>
        <v>6.250058863307157</v>
      </c>
    </row>
    <row r="461" spans="1:4" ht="12.75">
      <c r="A461" s="39" t="s">
        <v>207</v>
      </c>
      <c r="B461" s="40">
        <v>4645.3</v>
      </c>
      <c r="C461" s="40">
        <f>C463</f>
        <v>0</v>
      </c>
      <c r="D461" s="52">
        <f t="shared" si="15"/>
        <v>0</v>
      </c>
    </row>
    <row r="462" spans="1:4" ht="12.75">
      <c r="A462" s="13" t="s">
        <v>39</v>
      </c>
      <c r="B462" s="14">
        <v>4645.3</v>
      </c>
      <c r="C462" s="14">
        <f>C463</f>
        <v>0</v>
      </c>
      <c r="D462" s="53">
        <f t="shared" si="15"/>
        <v>0</v>
      </c>
    </row>
    <row r="463" spans="1:4" s="55" customFormat="1" ht="12.75">
      <c r="A463" s="3" t="s">
        <v>62</v>
      </c>
      <c r="B463" s="3">
        <v>4645.3</v>
      </c>
      <c r="C463" s="3">
        <v>0</v>
      </c>
      <c r="D463" s="3">
        <f t="shared" si="15"/>
        <v>0</v>
      </c>
    </row>
    <row r="464" spans="1:4" ht="12.75">
      <c r="A464" s="39" t="s">
        <v>208</v>
      </c>
      <c r="B464" s="40">
        <v>663.61</v>
      </c>
      <c r="C464" s="40">
        <f>C466</f>
        <v>331.81</v>
      </c>
      <c r="D464" s="52">
        <f t="shared" si="15"/>
        <v>50.00075345458929</v>
      </c>
    </row>
    <row r="465" spans="1:4" ht="12.75">
      <c r="A465" s="13" t="s">
        <v>39</v>
      </c>
      <c r="B465" s="14">
        <v>663.61</v>
      </c>
      <c r="C465" s="14">
        <f>C466</f>
        <v>331.81</v>
      </c>
      <c r="D465" s="53">
        <f t="shared" si="15"/>
        <v>50.00075345458929</v>
      </c>
    </row>
    <row r="466" spans="1:4" ht="12.75">
      <c r="A466" s="3" t="s">
        <v>59</v>
      </c>
      <c r="B466" s="3">
        <v>663.61</v>
      </c>
      <c r="C466" s="3">
        <f>C467</f>
        <v>331.81</v>
      </c>
      <c r="D466" s="3">
        <f t="shared" si="15"/>
        <v>50.00075345458929</v>
      </c>
    </row>
    <row r="467" spans="1:4" ht="12.75">
      <c r="A467" s="54" t="s">
        <v>264</v>
      </c>
      <c r="B467" s="54"/>
      <c r="C467" s="54">
        <v>331.81</v>
      </c>
      <c r="D467" s="54"/>
    </row>
    <row r="468" spans="1:4" ht="12.75">
      <c r="A468" s="35" t="s">
        <v>209</v>
      </c>
      <c r="B468" s="36">
        <v>237839.25</v>
      </c>
      <c r="C468" s="36">
        <f>C472+C488+C499</f>
        <v>106007.02</v>
      </c>
      <c r="D468" s="49">
        <f t="shared" si="15"/>
        <v>44.57086876955759</v>
      </c>
    </row>
    <row r="469" spans="1:4" ht="12.75">
      <c r="A469" s="13" t="s">
        <v>39</v>
      </c>
      <c r="B469" s="14">
        <f>B474+B482+B490+B494+B501+B504+B511</f>
        <v>208640.22</v>
      </c>
      <c r="C469" s="14">
        <f>C474+C482+C490+C494+C501+C504+C511</f>
        <v>106007.02000000002</v>
      </c>
      <c r="D469" s="53">
        <f>C469/B469*100</f>
        <v>50.80852579622472</v>
      </c>
    </row>
    <row r="470" spans="1:4" ht="12.75">
      <c r="A470" s="13" t="s">
        <v>47</v>
      </c>
      <c r="B470" s="14">
        <f>B484+B508</f>
        <v>5308.92</v>
      </c>
      <c r="C470" s="14">
        <f>C484+C508</f>
        <v>0</v>
      </c>
      <c r="D470" s="53">
        <f>C470/B470*100</f>
        <v>0</v>
      </c>
    </row>
    <row r="471" spans="1:4" ht="12.75">
      <c r="A471" s="13" t="s">
        <v>55</v>
      </c>
      <c r="B471" s="14">
        <f>B486</f>
        <v>23890.11</v>
      </c>
      <c r="C471" s="14">
        <f>C486</f>
        <v>0</v>
      </c>
      <c r="D471" s="53">
        <f>C471/B471*100</f>
        <v>0</v>
      </c>
    </row>
    <row r="472" spans="1:4" s="55" customFormat="1" ht="12.75">
      <c r="A472" s="37" t="s">
        <v>210</v>
      </c>
      <c r="B472" s="38">
        <v>95825.85</v>
      </c>
      <c r="C472" s="38">
        <f>C473+C481</f>
        <v>39451.130000000005</v>
      </c>
      <c r="D472" s="51">
        <f t="shared" si="15"/>
        <v>41.169611331389184</v>
      </c>
    </row>
    <row r="473" spans="1:4" ht="12.75">
      <c r="A473" s="39" t="s">
        <v>211</v>
      </c>
      <c r="B473" s="40">
        <v>63972.37</v>
      </c>
      <c r="C473" s="40">
        <f>C475+C479</f>
        <v>39451.130000000005</v>
      </c>
      <c r="D473" s="52">
        <f t="shared" si="15"/>
        <v>61.66901429476507</v>
      </c>
    </row>
    <row r="474" spans="1:4" s="55" customFormat="1" ht="12.75">
      <c r="A474" s="13" t="s">
        <v>39</v>
      </c>
      <c r="B474" s="14">
        <v>63972.37</v>
      </c>
      <c r="C474" s="14">
        <f>C475+C479</f>
        <v>39451.130000000005</v>
      </c>
      <c r="D474" s="53">
        <f t="shared" si="15"/>
        <v>61.66901429476507</v>
      </c>
    </row>
    <row r="475" spans="1:4" ht="12.75">
      <c r="A475" s="3" t="s">
        <v>59</v>
      </c>
      <c r="B475" s="3">
        <v>17519.39</v>
      </c>
      <c r="C475" s="3">
        <f>C478+C477+C476</f>
        <v>9451.130000000001</v>
      </c>
      <c r="D475" s="3">
        <f t="shared" si="15"/>
        <v>53.946684216745</v>
      </c>
    </row>
    <row r="476" spans="1:4" ht="12.75">
      <c r="A476" s="54" t="s">
        <v>262</v>
      </c>
      <c r="B476" s="3"/>
      <c r="C476" s="54">
        <v>4817.8</v>
      </c>
      <c r="D476" s="3"/>
    </row>
    <row r="477" spans="1:4" ht="12.75">
      <c r="A477" s="54" t="s">
        <v>260</v>
      </c>
      <c r="B477" s="3"/>
      <c r="C477" s="54">
        <v>2383.33</v>
      </c>
      <c r="D477" s="3"/>
    </row>
    <row r="478" spans="1:4" ht="12.75">
      <c r="A478" s="54" t="s">
        <v>252</v>
      </c>
      <c r="B478" s="54"/>
      <c r="C478" s="54">
        <v>2250</v>
      </c>
      <c r="D478" s="54"/>
    </row>
    <row r="479" spans="1:4" ht="12.75">
      <c r="A479" s="3" t="s">
        <v>64</v>
      </c>
      <c r="B479" s="3">
        <v>46452.98</v>
      </c>
      <c r="C479" s="3">
        <f>C480</f>
        <v>30000</v>
      </c>
      <c r="D479" s="3">
        <f t="shared" si="15"/>
        <v>64.5814326658914</v>
      </c>
    </row>
    <row r="480" spans="1:4" ht="12.75">
      <c r="A480" s="54" t="s">
        <v>241</v>
      </c>
      <c r="B480" s="54"/>
      <c r="C480" s="54">
        <v>30000</v>
      </c>
      <c r="D480" s="54"/>
    </row>
    <row r="481" spans="1:4" ht="12.75">
      <c r="A481" s="39" t="s">
        <v>212</v>
      </c>
      <c r="B481" s="40">
        <v>31853.48</v>
      </c>
      <c r="C481" s="40">
        <f>C483+C485+C487</f>
        <v>0</v>
      </c>
      <c r="D481" s="52">
        <f t="shared" si="15"/>
        <v>0</v>
      </c>
    </row>
    <row r="482" spans="1:4" ht="12.75">
      <c r="A482" s="13" t="s">
        <v>39</v>
      </c>
      <c r="B482" s="14">
        <v>5308.91</v>
      </c>
      <c r="C482" s="14">
        <f>C483</f>
        <v>0</v>
      </c>
      <c r="D482" s="53">
        <f t="shared" si="15"/>
        <v>0</v>
      </c>
    </row>
    <row r="483" spans="1:4" ht="12.75">
      <c r="A483" s="3" t="s">
        <v>67</v>
      </c>
      <c r="B483" s="3">
        <v>5308.91</v>
      </c>
      <c r="C483" s="3">
        <v>0</v>
      </c>
      <c r="D483" s="3">
        <f t="shared" si="15"/>
        <v>0</v>
      </c>
    </row>
    <row r="484" spans="1:4" ht="12.75">
      <c r="A484" s="13" t="s">
        <v>47</v>
      </c>
      <c r="B484" s="14">
        <v>2654.46</v>
      </c>
      <c r="C484" s="14">
        <f>C485</f>
        <v>0</v>
      </c>
      <c r="D484" s="53">
        <f t="shared" si="15"/>
        <v>0</v>
      </c>
    </row>
    <row r="485" spans="1:4" ht="12.75">
      <c r="A485" s="3" t="s">
        <v>69</v>
      </c>
      <c r="B485" s="3">
        <v>2654.46</v>
      </c>
      <c r="C485" s="3">
        <v>0</v>
      </c>
      <c r="D485" s="3">
        <f t="shared" si="15"/>
        <v>0</v>
      </c>
    </row>
    <row r="486" spans="1:4" ht="12.75">
      <c r="A486" s="13" t="s">
        <v>55</v>
      </c>
      <c r="B486" s="14">
        <v>23890.11</v>
      </c>
      <c r="C486" s="14">
        <f>C487</f>
        <v>0</v>
      </c>
      <c r="D486" s="53">
        <f t="shared" si="15"/>
        <v>0</v>
      </c>
    </row>
    <row r="487" spans="1:4" ht="12.75">
      <c r="A487" s="3" t="s">
        <v>69</v>
      </c>
      <c r="B487" s="3">
        <v>23890.11</v>
      </c>
      <c r="C487" s="3">
        <v>0</v>
      </c>
      <c r="D487" s="3">
        <f t="shared" si="15"/>
        <v>0</v>
      </c>
    </row>
    <row r="488" spans="1:4" s="55" customFormat="1" ht="12.75">
      <c r="A488" s="37" t="s">
        <v>213</v>
      </c>
      <c r="B488" s="38">
        <v>99542.1</v>
      </c>
      <c r="C488" s="38">
        <f>C489+C493</f>
        <v>48553.91</v>
      </c>
      <c r="D488" s="51">
        <f t="shared" si="15"/>
        <v>48.777261078478354</v>
      </c>
    </row>
    <row r="489" spans="1:4" ht="12.75">
      <c r="A489" s="39" t="s">
        <v>214</v>
      </c>
      <c r="B489" s="40">
        <v>46452.98</v>
      </c>
      <c r="C489" s="40">
        <f>C491</f>
        <v>25000</v>
      </c>
      <c r="D489" s="52">
        <f t="shared" si="15"/>
        <v>53.8178605549095</v>
      </c>
    </row>
    <row r="490" spans="1:4" ht="12.75">
      <c r="A490" s="13" t="s">
        <v>39</v>
      </c>
      <c r="B490" s="14">
        <v>46452.98</v>
      </c>
      <c r="C490" s="14">
        <f>C491</f>
        <v>25000</v>
      </c>
      <c r="D490" s="53">
        <f t="shared" si="15"/>
        <v>53.8178605549095</v>
      </c>
    </row>
    <row r="491" spans="1:4" ht="12.75">
      <c r="A491" s="3" t="s">
        <v>64</v>
      </c>
      <c r="B491" s="3">
        <v>46452.98</v>
      </c>
      <c r="C491" s="3">
        <f>C492</f>
        <v>25000</v>
      </c>
      <c r="D491" s="3">
        <f t="shared" si="15"/>
        <v>53.8178605549095</v>
      </c>
    </row>
    <row r="492" spans="1:4" s="55" customFormat="1" ht="12.75">
      <c r="A492" s="54" t="s">
        <v>242</v>
      </c>
      <c r="B492" s="54"/>
      <c r="C492" s="54">
        <v>25000</v>
      </c>
      <c r="D492" s="54"/>
    </row>
    <row r="493" spans="1:4" ht="12.75">
      <c r="A493" s="39" t="s">
        <v>215</v>
      </c>
      <c r="B493" s="40">
        <v>53089.12</v>
      </c>
      <c r="C493" s="40">
        <f>C495+C497</f>
        <v>23553.91</v>
      </c>
      <c r="D493" s="52">
        <f t="shared" si="15"/>
        <v>44.366736536601096</v>
      </c>
    </row>
    <row r="494" spans="1:4" s="55" customFormat="1" ht="12.75">
      <c r="A494" s="13" t="s">
        <v>39</v>
      </c>
      <c r="B494" s="14">
        <v>53089.12</v>
      </c>
      <c r="C494" s="14">
        <f>C495+C497</f>
        <v>23553.91</v>
      </c>
      <c r="D494" s="53">
        <f t="shared" si="15"/>
        <v>44.366736536601096</v>
      </c>
    </row>
    <row r="495" spans="1:4" ht="12.75">
      <c r="A495" s="3" t="s">
        <v>61</v>
      </c>
      <c r="B495" s="3">
        <v>6636.14</v>
      </c>
      <c r="C495" s="3">
        <f>C496</f>
        <v>2303.91</v>
      </c>
      <c r="D495" s="3">
        <f t="shared" si="15"/>
        <v>34.71762199109723</v>
      </c>
    </row>
    <row r="496" spans="1:4" ht="12.75">
      <c r="A496" s="54" t="s">
        <v>247</v>
      </c>
      <c r="B496" s="54"/>
      <c r="C496" s="54">
        <v>2303.91</v>
      </c>
      <c r="D496" s="54"/>
    </row>
    <row r="497" spans="1:4" ht="12.75">
      <c r="A497" s="3" t="s">
        <v>64</v>
      </c>
      <c r="B497" s="3">
        <v>46452.98</v>
      </c>
      <c r="C497" s="3">
        <f>C498</f>
        <v>21250</v>
      </c>
      <c r="D497" s="3">
        <f t="shared" si="15"/>
        <v>45.74518147167307</v>
      </c>
    </row>
    <row r="498" spans="1:4" ht="12.75">
      <c r="A498" s="54" t="s">
        <v>242</v>
      </c>
      <c r="B498" s="54"/>
      <c r="C498" s="54">
        <v>21250</v>
      </c>
      <c r="D498" s="54"/>
    </row>
    <row r="499" spans="1:4" ht="12.75">
      <c r="A499" s="37" t="s">
        <v>216</v>
      </c>
      <c r="B499" s="38">
        <v>42471.3</v>
      </c>
      <c r="C499" s="38">
        <f>C500+C503+C507+C510</f>
        <v>18001.98</v>
      </c>
      <c r="D499" s="51">
        <f t="shared" si="15"/>
        <v>42.386223167174066</v>
      </c>
    </row>
    <row r="500" spans="1:4" ht="12.75">
      <c r="A500" s="39" t="s">
        <v>217</v>
      </c>
      <c r="B500" s="40">
        <v>13272.28</v>
      </c>
      <c r="C500" s="40">
        <f>C502</f>
        <v>0</v>
      </c>
      <c r="D500" s="52">
        <f t="shared" si="15"/>
        <v>0</v>
      </c>
    </row>
    <row r="501" spans="1:4" ht="12.75">
      <c r="A501" s="13" t="s">
        <v>39</v>
      </c>
      <c r="B501" s="14">
        <v>13272.28</v>
      </c>
      <c r="C501" s="14">
        <f>C502</f>
        <v>0</v>
      </c>
      <c r="D501" s="53">
        <f t="shared" si="15"/>
        <v>0</v>
      </c>
    </row>
    <row r="502" spans="1:4" s="55" customFormat="1" ht="12.75">
      <c r="A502" s="3" t="s">
        <v>61</v>
      </c>
      <c r="B502" s="3">
        <v>13272.28</v>
      </c>
      <c r="C502" s="3">
        <v>0</v>
      </c>
      <c r="D502" s="3">
        <f t="shared" si="15"/>
        <v>0</v>
      </c>
    </row>
    <row r="503" spans="1:4" ht="12.75">
      <c r="A503" s="39" t="s">
        <v>218</v>
      </c>
      <c r="B503" s="40">
        <v>13272.28</v>
      </c>
      <c r="C503" s="40">
        <f>C505</f>
        <v>3318.07</v>
      </c>
      <c r="D503" s="52">
        <f t="shared" si="15"/>
        <v>25</v>
      </c>
    </row>
    <row r="504" spans="1:4" ht="12.75">
      <c r="A504" s="13" t="s">
        <v>39</v>
      </c>
      <c r="B504" s="14">
        <v>13272.28</v>
      </c>
      <c r="C504" s="14">
        <f>C505</f>
        <v>3318.07</v>
      </c>
      <c r="D504" s="53">
        <f t="shared" si="15"/>
        <v>25</v>
      </c>
    </row>
    <row r="505" spans="1:4" ht="12.75">
      <c r="A505" s="3" t="s">
        <v>59</v>
      </c>
      <c r="B505" s="3">
        <v>13272.28</v>
      </c>
      <c r="C505" s="3">
        <f>C506</f>
        <v>3318.07</v>
      </c>
      <c r="D505" s="3">
        <f t="shared" si="15"/>
        <v>25</v>
      </c>
    </row>
    <row r="506" spans="1:4" ht="12.75">
      <c r="A506" s="54" t="s">
        <v>266</v>
      </c>
      <c r="B506" s="54"/>
      <c r="C506" s="54">
        <v>3318.07</v>
      </c>
      <c r="D506" s="54"/>
    </row>
    <row r="507" spans="1:4" ht="12.75">
      <c r="A507" s="39" t="s">
        <v>219</v>
      </c>
      <c r="B507" s="40">
        <v>2654.46</v>
      </c>
      <c r="C507" s="40">
        <f>C509</f>
        <v>0</v>
      </c>
      <c r="D507" s="52">
        <f t="shared" si="15"/>
        <v>0</v>
      </c>
    </row>
    <row r="508" spans="1:4" ht="12.75">
      <c r="A508" s="13" t="s">
        <v>47</v>
      </c>
      <c r="B508" s="14">
        <v>2654.46</v>
      </c>
      <c r="C508" s="14">
        <f>C509</f>
        <v>0</v>
      </c>
      <c r="D508" s="53">
        <f t="shared" si="15"/>
        <v>0</v>
      </c>
    </row>
    <row r="509" spans="1:4" s="55" customFormat="1" ht="12.75">
      <c r="A509" s="3" t="s">
        <v>66</v>
      </c>
      <c r="B509" s="3">
        <v>2654.46</v>
      </c>
      <c r="C509" s="3">
        <v>0</v>
      </c>
      <c r="D509" s="3">
        <f t="shared" si="15"/>
        <v>0</v>
      </c>
    </row>
    <row r="510" spans="1:4" ht="12.75">
      <c r="A510" s="39" t="s">
        <v>220</v>
      </c>
      <c r="B510" s="40">
        <v>13272.28</v>
      </c>
      <c r="C510" s="40">
        <f>C512</f>
        <v>14683.91</v>
      </c>
      <c r="D510" s="52">
        <f t="shared" si="15"/>
        <v>110.63592690931776</v>
      </c>
    </row>
    <row r="511" spans="1:4" ht="12.75">
      <c r="A511" s="13" t="s">
        <v>39</v>
      </c>
      <c r="B511" s="14">
        <v>13272.28</v>
      </c>
      <c r="C511" s="14">
        <f>C512</f>
        <v>14683.91</v>
      </c>
      <c r="D511" s="53">
        <f t="shared" si="15"/>
        <v>110.63592690931776</v>
      </c>
    </row>
    <row r="512" spans="1:4" ht="12.75">
      <c r="A512" s="3" t="s">
        <v>67</v>
      </c>
      <c r="B512" s="3">
        <v>13272.28</v>
      </c>
      <c r="C512" s="3">
        <f>C513</f>
        <v>14683.91</v>
      </c>
      <c r="D512" s="3">
        <f>C512/B512*100</f>
        <v>110.63592690931776</v>
      </c>
    </row>
    <row r="513" spans="1:4" ht="12.75">
      <c r="A513" s="54" t="s">
        <v>233</v>
      </c>
      <c r="B513" s="54"/>
      <c r="C513" s="54">
        <v>14683.91</v>
      </c>
      <c r="D513" s="54"/>
    </row>
    <row r="516" spans="1:4" ht="24" customHeight="1">
      <c r="A516" s="44" t="s">
        <v>222</v>
      </c>
      <c r="B516" s="44"/>
      <c r="C516" s="44"/>
      <c r="D516" s="44"/>
    </row>
    <row r="517" spans="1:4" ht="15.75">
      <c r="A517" s="45" t="s">
        <v>223</v>
      </c>
      <c r="B517" s="45"/>
      <c r="C517" s="45"/>
      <c r="D517" s="45"/>
    </row>
    <row r="518" spans="1:4" ht="15.75">
      <c r="A518" s="11"/>
      <c r="B518" s="11"/>
      <c r="C518" s="11"/>
      <c r="D518" s="11"/>
    </row>
    <row r="519" spans="1:5" ht="31.5" customHeight="1">
      <c r="A519" s="147" t="s">
        <v>280</v>
      </c>
      <c r="B519" s="148"/>
      <c r="C519" s="148"/>
      <c r="D519" s="148"/>
      <c r="E519" s="61"/>
    </row>
    <row r="520" spans="1:4" ht="15.75">
      <c r="A520" s="46"/>
      <c r="B520" s="46"/>
      <c r="C520" s="46"/>
      <c r="D520" s="46"/>
    </row>
    <row r="521" spans="1:4" ht="15.75">
      <c r="A521" s="11"/>
      <c r="B521" s="11"/>
      <c r="C521" s="11"/>
      <c r="D521" s="11"/>
    </row>
    <row r="522" spans="1:4" ht="15.75">
      <c r="A522" s="11" t="s">
        <v>477</v>
      </c>
      <c r="B522" s="149" t="s">
        <v>224</v>
      </c>
      <c r="C522" s="136"/>
      <c r="D522" s="62"/>
    </row>
    <row r="523" spans="1:4" ht="15.75">
      <c r="A523" s="11" t="s">
        <v>478</v>
      </c>
      <c r="B523" s="44" t="s">
        <v>225</v>
      </c>
      <c r="C523" s="44"/>
      <c r="D523" s="44"/>
    </row>
    <row r="524" spans="1:4" ht="15.75">
      <c r="A524" s="11" t="s">
        <v>476</v>
      </c>
      <c r="B524" s="149" t="s">
        <v>226</v>
      </c>
      <c r="C524" s="136"/>
      <c r="D524" s="44"/>
    </row>
  </sheetData>
  <sheetProtection/>
  <mergeCells count="7">
    <mergeCell ref="A519:D519"/>
    <mergeCell ref="B522:C522"/>
    <mergeCell ref="B524:C524"/>
    <mergeCell ref="A3:D3"/>
    <mergeCell ref="A5:D5"/>
    <mergeCell ref="A26:D26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2023-10-13T11:38:40Z</cp:lastPrinted>
  <dcterms:modified xsi:type="dcterms:W3CDTF">2023-10-16T07:38:39Z</dcterms:modified>
  <cp:category/>
  <cp:version/>
  <cp:contentType/>
  <cp:contentStatus/>
</cp:coreProperties>
</file>